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2.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9.xml" ContentType="application/vnd.openxmlformats-officedocument.drawing+xml"/>
  <Override PartName="/xl/charts/chart20.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1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drawings/drawing1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2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2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3.xml" ContentType="application/vnd.openxmlformats-officedocument.spreadsheetml.comments+xml"/>
  <Override PartName="/xl/charts/chart33.xml" ContentType="application/vnd.openxmlformats-officedocument.drawingml.chart+xml"/>
  <Override PartName="/xl/charts/chart34.xml" ContentType="application/vnd.openxmlformats-officedocument.drawingml.chart+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updateLinks="always" codeName="ThisWorkbook" defaultThemeVersion="124226"/>
  <mc:AlternateContent xmlns:mc="http://schemas.openxmlformats.org/markup-compatibility/2006">
    <mc:Choice Requires="x15">
      <x15ac:absPath xmlns:x15ac="http://schemas.microsoft.com/office/spreadsheetml/2010/11/ac" url="R:\Fellesområde\FX4\"/>
    </mc:Choice>
  </mc:AlternateContent>
  <bookViews>
    <workbookView xWindow="1440" yWindow="-45" windowWidth="14340" windowHeight="7365" tabRatio="672" firstSheet="4" activeTab="15"/>
  </bookViews>
  <sheets>
    <sheet name="sysX" sheetId="27" state="hidden" r:id="rId1"/>
    <sheet name="Graf Oms" sheetId="35" state="hidden" r:id="rId2"/>
    <sheet name="Home" sheetId="41" state="hidden" r:id="rId3"/>
    <sheet name="ActionLog" sheetId="42" state="hidden" r:id="rId4"/>
    <sheet name="Min Butikk" sheetId="24" r:id="rId5"/>
    <sheet name="Mitt Salg" sheetId="43" state="hidden" r:id="rId6"/>
    <sheet name="Mitt Svinn" sheetId="45" r:id="rId7"/>
    <sheet name="Svinn pr VO" sheetId="46" r:id="rId8"/>
    <sheet name="Store Trend" sheetId="38" r:id="rId9"/>
    <sheet name="Min Margin" sheetId="36" state="hidden" r:id="rId10"/>
    <sheet name="Simulator" sheetId="26" state="hidden" r:id="rId11"/>
    <sheet name="Ark1" sheetId="47" state="hidden" r:id="rId12"/>
    <sheet name="Sykefravær" sheetId="30" r:id="rId13"/>
    <sheet name="Mitt Distrikt" sheetId="1" state="hidden" r:id="rId14"/>
    <sheet name="Mitt Distrikt YTD" sheetId="34" state="hidden" r:id="rId15"/>
    <sheet name="RegionTotal" sheetId="37" r:id="rId16"/>
    <sheet name="Min Region Ukesvisning" sheetId="25" state="hidden" r:id="rId17"/>
    <sheet name="Benchmarking Super" sheetId="28" r:id="rId18"/>
    <sheet name="Benchmarking Super YTD" sheetId="32" state="hidden" r:id="rId19"/>
    <sheet name="Benchmarking Nær" sheetId="31" state="hidden" r:id="rId20"/>
    <sheet name="Benchmarking Nær YTD" sheetId="33" state="hidden" r:id="rId21"/>
    <sheet name="BenchHist Min Butikk" sheetId="29" state="hidden" r:id="rId22"/>
    <sheet name="BudPer" sheetId="39" state="hidden" r:id="rId23"/>
    <sheet name="HELP ME" sheetId="40" state="hidden" r:id="rId24"/>
    <sheet name="Sheet1" sheetId="44" state="hidden" r:id="rId25"/>
  </sheets>
  <functionGroups builtInGroupCount="18"/>
  <externalReferences>
    <externalReference r:id="rId26"/>
    <externalReference r:id="rId27"/>
    <externalReference r:id="rId28"/>
  </externalReferences>
  <definedNames>
    <definedName name="_xlnm._FilterDatabase" localSheetId="3" hidden="1">ActionLog!$A$5:$P$57</definedName>
    <definedName name="_xlnm._FilterDatabase" localSheetId="19" hidden="1">'Benchmarking Nær'!$C$4:$S$4</definedName>
    <definedName name="_xlnm._FilterDatabase" localSheetId="20" hidden="1">'Benchmarking Nær YTD'!$C$4:$S$4</definedName>
    <definedName name="_xlnm._FilterDatabase" localSheetId="17" hidden="1">'Benchmarking Super'!$C$6:$W$6</definedName>
    <definedName name="_xlnm._FilterDatabase" localSheetId="18" hidden="1">'Benchmarking Super YTD'!$C$4:$S$4</definedName>
    <definedName name="_xlnm._FilterDatabase" localSheetId="2" hidden="1">Home!$A$5:$P$39</definedName>
    <definedName name="_xlnm._FilterDatabase" localSheetId="13" hidden="1">'Mitt Distrikt'!$A$6:$AB$6</definedName>
    <definedName name="DBLN">[1]dblønn!$A$1:$G$10048</definedName>
    <definedName name="dbr" localSheetId="3">'[2]Min Butikk'!$A$8:$AB$61</definedName>
    <definedName name="dbr" localSheetId="2">'[2]Min Butikk'!$A$8:$AB$61</definedName>
    <definedName name="dbr" localSheetId="5">'Mitt Salg'!$A$8:$N$61</definedName>
    <definedName name="dbr">'Min Butikk'!$A$8:$AB$61</definedName>
    <definedName name="_xlnm.Print_Area" localSheetId="19">'Benchmarking Nær'!$C:$U</definedName>
    <definedName name="_xlnm.Print_Area" localSheetId="20">'Benchmarking Nær YTD'!$C:$U</definedName>
    <definedName name="_xlnm.Print_Area" localSheetId="17">'Benchmarking Super'!$C:$W</definedName>
    <definedName name="_xlnm.Print_Area" localSheetId="18">'Benchmarking Super YTD'!$C:$U</definedName>
    <definedName name="_xlnm.Print_Area" localSheetId="2">Home!$A$1:$Q$39</definedName>
    <definedName name="_xlnm.Print_Area" localSheetId="4">'Min Butikk'!$A$1:$AE$61</definedName>
    <definedName name="_xlnm.Print_Area" localSheetId="16">'Min Region Ukesvisning'!$C$1:$AA$70</definedName>
    <definedName name="_xlnm.Print_Area" localSheetId="13">'Mitt Distrikt'!$C$1:$AA$70</definedName>
    <definedName name="_xlnm.Print_Area" localSheetId="14">'Mitt Distrikt YTD'!$C$1:$AA$70</definedName>
    <definedName name="_xlnm.Print_Area" localSheetId="5">'Mitt Salg'!$A$2:$R$167</definedName>
    <definedName name="_xlnm.Print_Area" localSheetId="15">RegionTotal!$A$1:$AD$35</definedName>
    <definedName name="_xlnm.Print_Area" localSheetId="10">Simulator!$A$1:$O$77</definedName>
    <definedName name="_xlnm.Print_Area" localSheetId="8">'Store Trend'!$A$1:$U$43</definedName>
    <definedName name="_xlnm.Print_Area" localSheetId="12">Sykefravær!$A$1:$R$59</definedName>
    <definedName name="vareområdesvinn">[3]Sorterte_svinntall!$E$3:$E$527</definedName>
  </definedNames>
  <calcPr calcId="162913"/>
</workbook>
</file>

<file path=xl/calcChain.xml><?xml version="1.0" encoding="utf-8"?>
<calcChain xmlns="http://schemas.openxmlformats.org/spreadsheetml/2006/main">
  <c r="W7" i="37" l="1"/>
  <c r="X7" i="37" s="1"/>
  <c r="W6" i="37"/>
  <c r="X6" i="37" s="1"/>
  <c r="W5" i="37"/>
  <c r="V5" i="37" s="1"/>
  <c r="I7" i="37"/>
  <c r="H7" i="37"/>
  <c r="G7" i="37"/>
  <c r="I6" i="37"/>
  <c r="H6" i="37"/>
  <c r="G6" i="37"/>
  <c r="T5" i="37"/>
  <c r="C6" i="28"/>
  <c r="X5" i="37" l="1"/>
  <c r="Q57" i="39"/>
  <c r="P57" i="39"/>
  <c r="O57" i="39"/>
  <c r="L57" i="39"/>
  <c r="K57" i="39"/>
  <c r="J57" i="39"/>
  <c r="I57" i="39"/>
  <c r="H57" i="39"/>
  <c r="G57" i="39"/>
  <c r="F57" i="39"/>
  <c r="D57" i="39"/>
  <c r="C57" i="39"/>
  <c r="B57" i="39"/>
  <c r="L56" i="39"/>
  <c r="J56" i="39"/>
  <c r="H56" i="39"/>
  <c r="S55" i="39"/>
  <c r="R55" i="39"/>
  <c r="Q55" i="39"/>
  <c r="P55" i="39"/>
  <c r="N55" i="39"/>
  <c r="M55" i="39"/>
  <c r="L55" i="39"/>
  <c r="J55" i="39"/>
  <c r="H55" i="39"/>
  <c r="F55" i="39"/>
  <c r="E55" i="39"/>
  <c r="S54" i="39"/>
  <c r="R54" i="39"/>
  <c r="Q54" i="39"/>
  <c r="P54" i="39"/>
  <c r="N54" i="39"/>
  <c r="M54" i="39"/>
  <c r="L54" i="39"/>
  <c r="J54" i="39"/>
  <c r="H54" i="39"/>
  <c r="F54" i="39"/>
  <c r="E54" i="39"/>
  <c r="S53" i="39"/>
  <c r="R53" i="39"/>
  <c r="Q53" i="39"/>
  <c r="P53" i="39"/>
  <c r="N53" i="39"/>
  <c r="M53" i="39"/>
  <c r="L53" i="39"/>
  <c r="J53" i="39"/>
  <c r="H53" i="39"/>
  <c r="F53" i="39"/>
  <c r="E53" i="39"/>
  <c r="S52" i="39"/>
  <c r="R52" i="39"/>
  <c r="Q52" i="39"/>
  <c r="P52" i="39"/>
  <c r="N52" i="39"/>
  <c r="M52" i="39"/>
  <c r="L52" i="39"/>
  <c r="J52" i="39"/>
  <c r="H52" i="39"/>
  <c r="F52" i="39"/>
  <c r="E52" i="39"/>
  <c r="S51" i="39"/>
  <c r="R51" i="39"/>
  <c r="Q51" i="39"/>
  <c r="P51" i="39"/>
  <c r="N51" i="39"/>
  <c r="M51" i="39"/>
  <c r="L51" i="39"/>
  <c r="J51" i="39"/>
  <c r="H51" i="39"/>
  <c r="F51" i="39"/>
  <c r="E51" i="39"/>
  <c r="S50" i="39"/>
  <c r="R50" i="39"/>
  <c r="Q50" i="39"/>
  <c r="P50" i="39"/>
  <c r="N50" i="39"/>
  <c r="M50" i="39"/>
  <c r="L50" i="39"/>
  <c r="J50" i="39"/>
  <c r="H50" i="39"/>
  <c r="F50" i="39"/>
  <c r="E50" i="39"/>
  <c r="S49" i="39"/>
  <c r="R49" i="39"/>
  <c r="Q49" i="39"/>
  <c r="P49" i="39"/>
  <c r="N49" i="39"/>
  <c r="M49" i="39"/>
  <c r="L49" i="39"/>
  <c r="J49" i="39"/>
  <c r="H49" i="39"/>
  <c r="F49" i="39"/>
  <c r="E49" i="39"/>
  <c r="S48" i="39"/>
  <c r="R48" i="39"/>
  <c r="Q48" i="39"/>
  <c r="P48" i="39"/>
  <c r="N48" i="39"/>
  <c r="M48" i="39"/>
  <c r="L48" i="39"/>
  <c r="J48" i="39"/>
  <c r="H48" i="39"/>
  <c r="F48" i="39"/>
  <c r="E48" i="39"/>
  <c r="S47" i="39"/>
  <c r="R47" i="39"/>
  <c r="Q47" i="39"/>
  <c r="P47" i="39"/>
  <c r="N47" i="39"/>
  <c r="M47" i="39"/>
  <c r="L47" i="39"/>
  <c r="J47" i="39"/>
  <c r="H47" i="39"/>
  <c r="F47" i="39"/>
  <c r="E47" i="39"/>
  <c r="S46" i="39"/>
  <c r="R46" i="39"/>
  <c r="Q46" i="39"/>
  <c r="P46" i="39"/>
  <c r="N46" i="39"/>
  <c r="M46" i="39"/>
  <c r="L46" i="39"/>
  <c r="J46" i="39"/>
  <c r="H46" i="39"/>
  <c r="F46" i="39"/>
  <c r="E46" i="39"/>
  <c r="S45" i="39"/>
  <c r="R45" i="39"/>
  <c r="Q45" i="39"/>
  <c r="P45" i="39"/>
  <c r="N45" i="39"/>
  <c r="M45" i="39"/>
  <c r="L45" i="39"/>
  <c r="J45" i="39"/>
  <c r="H45" i="39"/>
  <c r="F45" i="39"/>
  <c r="E45" i="39"/>
  <c r="S44" i="39"/>
  <c r="R44" i="39"/>
  <c r="Q44" i="39"/>
  <c r="P44" i="39"/>
  <c r="N44" i="39"/>
  <c r="M44" i="39"/>
  <c r="L44" i="39"/>
  <c r="J44" i="39"/>
  <c r="H44" i="39"/>
  <c r="F44" i="39"/>
  <c r="E44" i="39"/>
  <c r="S43" i="39"/>
  <c r="R43" i="39"/>
  <c r="Q43" i="39"/>
  <c r="P43" i="39"/>
  <c r="N43" i="39"/>
  <c r="M43" i="39"/>
  <c r="L43" i="39"/>
  <c r="J43" i="39"/>
  <c r="H43" i="39"/>
  <c r="F43" i="39"/>
  <c r="E43" i="39"/>
  <c r="S42" i="39"/>
  <c r="R42" i="39"/>
  <c r="Q42" i="39"/>
  <c r="P42" i="39"/>
  <c r="N42" i="39"/>
  <c r="M42" i="39"/>
  <c r="L42" i="39"/>
  <c r="J42" i="39"/>
  <c r="H42" i="39"/>
  <c r="F42" i="39"/>
  <c r="E42" i="39"/>
  <c r="S41" i="39"/>
  <c r="R41" i="39"/>
  <c r="Q41" i="39"/>
  <c r="P41" i="39"/>
  <c r="N41" i="39"/>
  <c r="M41" i="39"/>
  <c r="L41" i="39"/>
  <c r="J41" i="39"/>
  <c r="H41" i="39"/>
  <c r="F41" i="39"/>
  <c r="E41" i="39"/>
  <c r="S40" i="39"/>
  <c r="R40" i="39"/>
  <c r="Q40" i="39"/>
  <c r="P40" i="39"/>
  <c r="N40" i="39"/>
  <c r="M40" i="39"/>
  <c r="L40" i="39"/>
  <c r="J40" i="39"/>
  <c r="H40" i="39"/>
  <c r="F40" i="39"/>
  <c r="E40" i="39"/>
  <c r="S39" i="39"/>
  <c r="R39" i="39"/>
  <c r="Q39" i="39"/>
  <c r="P39" i="39"/>
  <c r="N39" i="39"/>
  <c r="M39" i="39"/>
  <c r="L39" i="39"/>
  <c r="J39" i="39"/>
  <c r="H39" i="39"/>
  <c r="F39" i="39"/>
  <c r="E39" i="39"/>
  <c r="S38" i="39"/>
  <c r="R38" i="39"/>
  <c r="Q38" i="39"/>
  <c r="P38" i="39"/>
  <c r="N38" i="39"/>
  <c r="M38" i="39"/>
  <c r="L38" i="39"/>
  <c r="J38" i="39"/>
  <c r="H38" i="39"/>
  <c r="F38" i="39"/>
  <c r="E38" i="39"/>
  <c r="S37" i="39"/>
  <c r="R37" i="39"/>
  <c r="Q37" i="39"/>
  <c r="P37" i="39"/>
  <c r="N37" i="39"/>
  <c r="M37" i="39"/>
  <c r="L37" i="39"/>
  <c r="J37" i="39"/>
  <c r="H37" i="39"/>
  <c r="F37" i="39"/>
  <c r="E37" i="39"/>
  <c r="S36" i="39"/>
  <c r="R36" i="39"/>
  <c r="Q36" i="39"/>
  <c r="P36" i="39"/>
  <c r="N36" i="39"/>
  <c r="M36" i="39"/>
  <c r="L36" i="39"/>
  <c r="J36" i="39"/>
  <c r="H36" i="39"/>
  <c r="F36" i="39"/>
  <c r="E36" i="39"/>
  <c r="S35" i="39"/>
  <c r="R35" i="39"/>
  <c r="Q35" i="39"/>
  <c r="P35" i="39"/>
  <c r="N35" i="39"/>
  <c r="M35" i="39"/>
  <c r="L35" i="39"/>
  <c r="J35" i="39"/>
  <c r="H35" i="39"/>
  <c r="F35" i="39"/>
  <c r="E35" i="39"/>
  <c r="S34" i="39"/>
  <c r="R34" i="39"/>
  <c r="Q34" i="39"/>
  <c r="P34" i="39"/>
  <c r="N34" i="39"/>
  <c r="M34" i="39"/>
  <c r="L34" i="39"/>
  <c r="J34" i="39"/>
  <c r="H34" i="39"/>
  <c r="F34" i="39"/>
  <c r="E34" i="39"/>
  <c r="S33" i="39"/>
  <c r="R33" i="39"/>
  <c r="Q33" i="39"/>
  <c r="P33" i="39"/>
  <c r="N33" i="39"/>
  <c r="M33" i="39"/>
  <c r="L33" i="39"/>
  <c r="J33" i="39"/>
  <c r="H33" i="39"/>
  <c r="F33" i="39"/>
  <c r="E33" i="39"/>
  <c r="S32" i="39"/>
  <c r="R32" i="39"/>
  <c r="Q32" i="39"/>
  <c r="P32" i="39"/>
  <c r="N32" i="39"/>
  <c r="M32" i="39"/>
  <c r="L32" i="39"/>
  <c r="J32" i="39"/>
  <c r="H32" i="39"/>
  <c r="F32" i="39"/>
  <c r="E32" i="39"/>
  <c r="S31" i="39"/>
  <c r="R31" i="39"/>
  <c r="Q31" i="39"/>
  <c r="P31" i="39"/>
  <c r="N31" i="39"/>
  <c r="M31" i="39"/>
  <c r="L31" i="39"/>
  <c r="J31" i="39"/>
  <c r="H31" i="39"/>
  <c r="F31" i="39"/>
  <c r="E31" i="39"/>
  <c r="S30" i="39"/>
  <c r="R30" i="39"/>
  <c r="Q30" i="39"/>
  <c r="P30" i="39"/>
  <c r="N30" i="39"/>
  <c r="M30" i="39"/>
  <c r="L30" i="39"/>
  <c r="J30" i="39"/>
  <c r="H30" i="39"/>
  <c r="F30" i="39"/>
  <c r="E30" i="39"/>
  <c r="S29" i="39"/>
  <c r="R29" i="39"/>
  <c r="Q29" i="39"/>
  <c r="P29" i="39"/>
  <c r="N29" i="39"/>
  <c r="M29" i="39"/>
  <c r="L29" i="39"/>
  <c r="J29" i="39"/>
  <c r="H29" i="39"/>
  <c r="F29" i="39"/>
  <c r="E29" i="39"/>
  <c r="S28" i="39"/>
  <c r="R28" i="39"/>
  <c r="Q28" i="39"/>
  <c r="P28" i="39"/>
  <c r="N28" i="39"/>
  <c r="M28" i="39"/>
  <c r="L28" i="39"/>
  <c r="J28" i="39"/>
  <c r="H28" i="39"/>
  <c r="F28" i="39"/>
  <c r="E28" i="39"/>
  <c r="S27" i="39"/>
  <c r="R27" i="39"/>
  <c r="Q27" i="39"/>
  <c r="P27" i="39"/>
  <c r="N27" i="39"/>
  <c r="M27" i="39"/>
  <c r="L27" i="39"/>
  <c r="J27" i="39"/>
  <c r="H27" i="39"/>
  <c r="F27" i="39"/>
  <c r="E27" i="39"/>
  <c r="S26" i="39"/>
  <c r="R26" i="39"/>
  <c r="Q26" i="39"/>
  <c r="P26" i="39"/>
  <c r="N26" i="39"/>
  <c r="M26" i="39"/>
  <c r="L26" i="39"/>
  <c r="J26" i="39"/>
  <c r="H26" i="39"/>
  <c r="F26" i="39"/>
  <c r="E26" i="39"/>
  <c r="S25" i="39"/>
  <c r="R25" i="39"/>
  <c r="Q25" i="39"/>
  <c r="P25" i="39"/>
  <c r="N25" i="39"/>
  <c r="M25" i="39"/>
  <c r="L25" i="39"/>
  <c r="J25" i="39"/>
  <c r="H25" i="39"/>
  <c r="F25" i="39"/>
  <c r="E25" i="39"/>
  <c r="S24" i="39"/>
  <c r="R24" i="39"/>
  <c r="Q24" i="39"/>
  <c r="P24" i="39"/>
  <c r="N24" i="39"/>
  <c r="M24" i="39"/>
  <c r="L24" i="39"/>
  <c r="J24" i="39"/>
  <c r="H24" i="39"/>
  <c r="F24" i="39"/>
  <c r="E24" i="39"/>
  <c r="S23" i="39"/>
  <c r="R23" i="39"/>
  <c r="Q23" i="39"/>
  <c r="P23" i="39"/>
  <c r="N23" i="39"/>
  <c r="M23" i="39"/>
  <c r="L23" i="39"/>
  <c r="J23" i="39"/>
  <c r="H23" i="39"/>
  <c r="F23" i="39"/>
  <c r="E23" i="39"/>
  <c r="S22" i="39"/>
  <c r="R22" i="39"/>
  <c r="Q22" i="39"/>
  <c r="P22" i="39"/>
  <c r="N22" i="39"/>
  <c r="M22" i="39"/>
  <c r="L22" i="39"/>
  <c r="J22" i="39"/>
  <c r="H22" i="39"/>
  <c r="F22" i="39"/>
  <c r="E22" i="39"/>
  <c r="S21" i="39"/>
  <c r="R21" i="39"/>
  <c r="Q21" i="39"/>
  <c r="P21" i="39"/>
  <c r="N21" i="39"/>
  <c r="M21" i="39"/>
  <c r="L21" i="39"/>
  <c r="J21" i="39"/>
  <c r="H21" i="39"/>
  <c r="F21" i="39"/>
  <c r="E21" i="39"/>
  <c r="S20" i="39"/>
  <c r="R20" i="39"/>
  <c r="Q20" i="39"/>
  <c r="P20" i="39"/>
  <c r="N20" i="39"/>
  <c r="M20" i="39"/>
  <c r="L20" i="39"/>
  <c r="J20" i="39"/>
  <c r="H20" i="39"/>
  <c r="F20" i="39"/>
  <c r="E20" i="39"/>
  <c r="S19" i="39"/>
  <c r="R19" i="39"/>
  <c r="Q19" i="39"/>
  <c r="P19" i="39"/>
  <c r="N19" i="39"/>
  <c r="M19" i="39"/>
  <c r="L19" i="39"/>
  <c r="J19" i="39"/>
  <c r="H19" i="39"/>
  <c r="F19" i="39"/>
  <c r="E19" i="39"/>
  <c r="S18" i="39"/>
  <c r="R18" i="39"/>
  <c r="Q18" i="39"/>
  <c r="P18" i="39"/>
  <c r="N18" i="39"/>
  <c r="M18" i="39"/>
  <c r="L18" i="39"/>
  <c r="J18" i="39"/>
  <c r="H18" i="39"/>
  <c r="F18" i="39"/>
  <c r="E18" i="39"/>
  <c r="S17" i="39"/>
  <c r="R17" i="39"/>
  <c r="Q17" i="39"/>
  <c r="P17" i="39"/>
  <c r="N17" i="39"/>
  <c r="M17" i="39"/>
  <c r="L17" i="39"/>
  <c r="J17" i="39"/>
  <c r="H17" i="39"/>
  <c r="F17" i="39"/>
  <c r="E17" i="39"/>
  <c r="S16" i="39"/>
  <c r="R16" i="39"/>
  <c r="Q16" i="39"/>
  <c r="P16" i="39"/>
  <c r="N16" i="39"/>
  <c r="M16" i="39"/>
  <c r="L16" i="39"/>
  <c r="J16" i="39"/>
  <c r="H16" i="39"/>
  <c r="F16" i="39"/>
  <c r="E16" i="39"/>
  <c r="S15" i="39"/>
  <c r="R15" i="39"/>
  <c r="Q15" i="39"/>
  <c r="P15" i="39"/>
  <c r="N15" i="39"/>
  <c r="M15" i="39"/>
  <c r="L15" i="39"/>
  <c r="J15" i="39"/>
  <c r="H15" i="39"/>
  <c r="F15" i="39"/>
  <c r="E15" i="39"/>
  <c r="S14" i="39"/>
  <c r="R14" i="39"/>
  <c r="Q14" i="39"/>
  <c r="P14" i="39"/>
  <c r="N14" i="39"/>
  <c r="M14" i="39"/>
  <c r="L14" i="39"/>
  <c r="J14" i="39"/>
  <c r="H14" i="39"/>
  <c r="F14" i="39"/>
  <c r="E14" i="39"/>
  <c r="S13" i="39"/>
  <c r="R13" i="39"/>
  <c r="Q13" i="39"/>
  <c r="P13" i="39"/>
  <c r="N13" i="39"/>
  <c r="M13" i="39"/>
  <c r="L13" i="39"/>
  <c r="J13" i="39"/>
  <c r="H13" i="39"/>
  <c r="F13" i="39"/>
  <c r="E13" i="39"/>
  <c r="S12" i="39"/>
  <c r="R12" i="39"/>
  <c r="Q12" i="39"/>
  <c r="P12" i="39"/>
  <c r="N12" i="39"/>
  <c r="M12" i="39"/>
  <c r="L12" i="39"/>
  <c r="J12" i="39"/>
  <c r="H12" i="39"/>
  <c r="F12" i="39"/>
  <c r="E12" i="39"/>
  <c r="S11" i="39"/>
  <c r="R11" i="39"/>
  <c r="Q11" i="39"/>
  <c r="P11" i="39"/>
  <c r="N11" i="39"/>
  <c r="M11" i="39"/>
  <c r="L11" i="39"/>
  <c r="J11" i="39"/>
  <c r="H11" i="39"/>
  <c r="F11" i="39"/>
  <c r="E11" i="39"/>
  <c r="S10" i="39"/>
  <c r="R10" i="39"/>
  <c r="Q10" i="39"/>
  <c r="P10" i="39"/>
  <c r="N10" i="39"/>
  <c r="M10" i="39"/>
  <c r="L10" i="39"/>
  <c r="J10" i="39"/>
  <c r="H10" i="39"/>
  <c r="F10" i="39"/>
  <c r="E10" i="39"/>
  <c r="S9" i="39"/>
  <c r="R9" i="39"/>
  <c r="Q9" i="39"/>
  <c r="P9" i="39"/>
  <c r="N9" i="39"/>
  <c r="M9" i="39"/>
  <c r="L9" i="39"/>
  <c r="J9" i="39"/>
  <c r="H9" i="39"/>
  <c r="F9" i="39"/>
  <c r="E9" i="39"/>
  <c r="S8" i="39"/>
  <c r="R8" i="39"/>
  <c r="Q8" i="39"/>
  <c r="P8" i="39"/>
  <c r="N8" i="39"/>
  <c r="M8" i="39"/>
  <c r="L8" i="39"/>
  <c r="J8" i="39"/>
  <c r="H8" i="39"/>
  <c r="F8" i="39"/>
  <c r="E8" i="39"/>
  <c r="S7" i="39"/>
  <c r="R7" i="39"/>
  <c r="Q7" i="39"/>
  <c r="P7" i="39"/>
  <c r="N7" i="39"/>
  <c r="M7" i="39"/>
  <c r="L7" i="39"/>
  <c r="J7" i="39"/>
  <c r="H7" i="39"/>
  <c r="F7" i="39"/>
  <c r="E7" i="39"/>
  <c r="S6" i="39"/>
  <c r="R6" i="39"/>
  <c r="Q6" i="39"/>
  <c r="P6" i="39"/>
  <c r="N6" i="39"/>
  <c r="M6" i="39"/>
  <c r="L6" i="39"/>
  <c r="J6" i="39"/>
  <c r="H6" i="39"/>
  <c r="F6" i="39"/>
  <c r="E6" i="39"/>
  <c r="S5" i="39"/>
  <c r="R5" i="39"/>
  <c r="Q5" i="39"/>
  <c r="P5" i="39"/>
  <c r="N5" i="39"/>
  <c r="M5" i="39"/>
  <c r="L5" i="39"/>
  <c r="J5" i="39"/>
  <c r="H5" i="39"/>
  <c r="F5" i="39"/>
  <c r="E5" i="39"/>
  <c r="S4" i="39"/>
  <c r="R4" i="39"/>
  <c r="Q4" i="39"/>
  <c r="P4" i="39"/>
  <c r="N4" i="39"/>
  <c r="M4" i="39"/>
  <c r="L4" i="39"/>
  <c r="J4" i="39"/>
  <c r="H4" i="39"/>
  <c r="F4" i="39"/>
  <c r="E4" i="39"/>
  <c r="S3" i="39"/>
  <c r="R3" i="39"/>
  <c r="Q3" i="39"/>
  <c r="P3" i="39"/>
  <c r="M3" i="39"/>
  <c r="L3" i="39"/>
  <c r="J3" i="39"/>
  <c r="H3" i="39"/>
  <c r="F3" i="39"/>
  <c r="E3" i="39"/>
  <c r="A1" i="39"/>
  <c r="E4" i="29"/>
  <c r="D4" i="29"/>
  <c r="C4" i="29"/>
  <c r="U103" i="33"/>
  <c r="S103" i="33"/>
  <c r="Q103" i="33"/>
  <c r="O103" i="33"/>
  <c r="M103" i="33"/>
  <c r="K103" i="33"/>
  <c r="I103" i="33"/>
  <c r="G103" i="33"/>
  <c r="U102" i="33"/>
  <c r="S102" i="33"/>
  <c r="Q102" i="33"/>
  <c r="O102" i="33"/>
  <c r="M102" i="33"/>
  <c r="K102" i="33"/>
  <c r="I102" i="33"/>
  <c r="G102" i="33"/>
  <c r="U101" i="33"/>
  <c r="S101" i="33"/>
  <c r="Q101" i="33"/>
  <c r="O101" i="33"/>
  <c r="M101" i="33"/>
  <c r="K101" i="33"/>
  <c r="I101" i="33"/>
  <c r="G101" i="33"/>
  <c r="U100" i="33"/>
  <c r="S100" i="33"/>
  <c r="Q100" i="33"/>
  <c r="O100" i="33"/>
  <c r="M100" i="33"/>
  <c r="K100" i="33"/>
  <c r="I100" i="33"/>
  <c r="G100" i="33"/>
  <c r="U99" i="33"/>
  <c r="S99" i="33"/>
  <c r="Q99" i="33"/>
  <c r="O99" i="33"/>
  <c r="M99" i="33"/>
  <c r="K99" i="33"/>
  <c r="I99" i="33"/>
  <c r="G99" i="33"/>
  <c r="U98" i="33"/>
  <c r="S98" i="33"/>
  <c r="Q98" i="33"/>
  <c r="O98" i="33"/>
  <c r="M98" i="33"/>
  <c r="K98" i="33"/>
  <c r="I98" i="33"/>
  <c r="G98" i="33"/>
  <c r="U97" i="33"/>
  <c r="S97" i="33"/>
  <c r="Q97" i="33"/>
  <c r="O97" i="33"/>
  <c r="M97" i="33"/>
  <c r="K97" i="33"/>
  <c r="I97" i="33"/>
  <c r="G97" i="33"/>
  <c r="U96" i="33"/>
  <c r="S96" i="33"/>
  <c r="Q96" i="33"/>
  <c r="O96" i="33"/>
  <c r="M96" i="33"/>
  <c r="K96" i="33"/>
  <c r="I96" i="33"/>
  <c r="G96" i="33"/>
  <c r="U95" i="33"/>
  <c r="S95" i="33"/>
  <c r="Q95" i="33"/>
  <c r="O95" i="33"/>
  <c r="M95" i="33"/>
  <c r="K95" i="33"/>
  <c r="I95" i="33"/>
  <c r="G95" i="33"/>
  <c r="U94" i="33"/>
  <c r="S94" i="33"/>
  <c r="Q94" i="33"/>
  <c r="O94" i="33"/>
  <c r="M94" i="33"/>
  <c r="K94" i="33"/>
  <c r="I94" i="33"/>
  <c r="G94" i="33"/>
  <c r="U93" i="33"/>
  <c r="S93" i="33"/>
  <c r="Q93" i="33"/>
  <c r="O93" i="33"/>
  <c r="M93" i="33"/>
  <c r="K93" i="33"/>
  <c r="I93" i="33"/>
  <c r="G93" i="33"/>
  <c r="U92" i="33"/>
  <c r="S92" i="33"/>
  <c r="Q92" i="33"/>
  <c r="O92" i="33"/>
  <c r="M92" i="33"/>
  <c r="K92" i="33"/>
  <c r="I92" i="33"/>
  <c r="G92" i="33"/>
  <c r="U91" i="33"/>
  <c r="S91" i="33"/>
  <c r="Q91" i="33"/>
  <c r="O91" i="33"/>
  <c r="M91" i="33"/>
  <c r="K91" i="33"/>
  <c r="I91" i="33"/>
  <c r="G91" i="33"/>
  <c r="U90" i="33"/>
  <c r="S90" i="33"/>
  <c r="Q90" i="33"/>
  <c r="O90" i="33"/>
  <c r="M90" i="33"/>
  <c r="K90" i="33"/>
  <c r="I90" i="33"/>
  <c r="G90" i="33"/>
  <c r="U89" i="33"/>
  <c r="S89" i="33"/>
  <c r="Q89" i="33"/>
  <c r="O89" i="33"/>
  <c r="M89" i="33"/>
  <c r="K89" i="33"/>
  <c r="I89" i="33"/>
  <c r="G89" i="33"/>
  <c r="U88" i="33"/>
  <c r="S88" i="33"/>
  <c r="Q88" i="33"/>
  <c r="O88" i="33"/>
  <c r="M88" i="33"/>
  <c r="K88" i="33"/>
  <c r="I88" i="33"/>
  <c r="G88" i="33"/>
  <c r="U87" i="33"/>
  <c r="S87" i="33"/>
  <c r="Q87" i="33"/>
  <c r="O87" i="33"/>
  <c r="M87" i="33"/>
  <c r="K87" i="33"/>
  <c r="I87" i="33"/>
  <c r="G87" i="33"/>
  <c r="U86" i="33"/>
  <c r="S86" i="33"/>
  <c r="Q86" i="33"/>
  <c r="O86" i="33"/>
  <c r="M86" i="33"/>
  <c r="K86" i="33"/>
  <c r="I86" i="33"/>
  <c r="G86" i="33"/>
  <c r="U85" i="33"/>
  <c r="S85" i="33"/>
  <c r="Q85" i="33"/>
  <c r="O85" i="33"/>
  <c r="M85" i="33"/>
  <c r="K85" i="33"/>
  <c r="I85" i="33"/>
  <c r="G85" i="33"/>
  <c r="U84" i="33"/>
  <c r="S84" i="33"/>
  <c r="Q84" i="33"/>
  <c r="O84" i="33"/>
  <c r="M84" i="33"/>
  <c r="K84" i="33"/>
  <c r="I84" i="33"/>
  <c r="G84" i="33"/>
  <c r="U83" i="33"/>
  <c r="S83" i="33"/>
  <c r="Q83" i="33"/>
  <c r="O83" i="33"/>
  <c r="M83" i="33"/>
  <c r="K83" i="33"/>
  <c r="I83" i="33"/>
  <c r="G83" i="33"/>
  <c r="U82" i="33"/>
  <c r="S82" i="33"/>
  <c r="Q82" i="33"/>
  <c r="O82" i="33"/>
  <c r="M82" i="33"/>
  <c r="K82" i="33"/>
  <c r="I82" i="33"/>
  <c r="G82" i="33"/>
  <c r="U81" i="33"/>
  <c r="S81" i="33"/>
  <c r="Q81" i="33"/>
  <c r="O81" i="33"/>
  <c r="M81" i="33"/>
  <c r="K81" i="33"/>
  <c r="I81" i="33"/>
  <c r="G81" i="33"/>
  <c r="U80" i="33"/>
  <c r="S80" i="33"/>
  <c r="Q80" i="33"/>
  <c r="O80" i="33"/>
  <c r="M80" i="33"/>
  <c r="K80" i="33"/>
  <c r="I80" i="33"/>
  <c r="G80" i="33"/>
  <c r="U79" i="33"/>
  <c r="S79" i="33"/>
  <c r="Q79" i="33"/>
  <c r="O79" i="33"/>
  <c r="M79" i="33"/>
  <c r="K79" i="33"/>
  <c r="I79" i="33"/>
  <c r="G79" i="33"/>
  <c r="U78" i="33"/>
  <c r="S78" i="33"/>
  <c r="Q78" i="33"/>
  <c r="O78" i="33"/>
  <c r="M78" i="33"/>
  <c r="K78" i="33"/>
  <c r="I78" i="33"/>
  <c r="G78" i="33"/>
  <c r="U77" i="33"/>
  <c r="S77" i="33"/>
  <c r="Q77" i="33"/>
  <c r="O77" i="33"/>
  <c r="M77" i="33"/>
  <c r="K77" i="33"/>
  <c r="I77" i="33"/>
  <c r="G77" i="33"/>
  <c r="U76" i="33"/>
  <c r="S76" i="33"/>
  <c r="Q76" i="33"/>
  <c r="O76" i="33"/>
  <c r="M76" i="33"/>
  <c r="K76" i="33"/>
  <c r="I76" i="33"/>
  <c r="G76" i="33"/>
  <c r="U75" i="33"/>
  <c r="S75" i="33"/>
  <c r="Q75" i="33"/>
  <c r="O75" i="33"/>
  <c r="M75" i="33"/>
  <c r="K75" i="33"/>
  <c r="I75" i="33"/>
  <c r="G75" i="33"/>
  <c r="U74" i="33"/>
  <c r="S74" i="33"/>
  <c r="Q74" i="33"/>
  <c r="O74" i="33"/>
  <c r="M74" i="33"/>
  <c r="K74" i="33"/>
  <c r="I74" i="33"/>
  <c r="G74" i="33"/>
  <c r="U73" i="33"/>
  <c r="S73" i="33"/>
  <c r="Q73" i="33"/>
  <c r="O73" i="33"/>
  <c r="M73" i="33"/>
  <c r="K73" i="33"/>
  <c r="I73" i="33"/>
  <c r="G73" i="33"/>
  <c r="U72" i="33"/>
  <c r="S72" i="33"/>
  <c r="Q72" i="33"/>
  <c r="O72" i="33"/>
  <c r="M72" i="33"/>
  <c r="K72" i="33"/>
  <c r="I72" i="33"/>
  <c r="G72" i="33"/>
  <c r="U71" i="33"/>
  <c r="S71" i="33"/>
  <c r="Q71" i="33"/>
  <c r="O71" i="33"/>
  <c r="M71" i="33"/>
  <c r="K71" i="33"/>
  <c r="I71" i="33"/>
  <c r="G71" i="33"/>
  <c r="U70" i="33"/>
  <c r="S70" i="33"/>
  <c r="Q70" i="33"/>
  <c r="O70" i="33"/>
  <c r="M70" i="33"/>
  <c r="K70" i="33"/>
  <c r="I70" i="33"/>
  <c r="G70" i="33"/>
  <c r="U69" i="33"/>
  <c r="S69" i="33"/>
  <c r="Q69" i="33"/>
  <c r="O69" i="33"/>
  <c r="M69" i="33"/>
  <c r="K69" i="33"/>
  <c r="I69" i="33"/>
  <c r="G69" i="33"/>
  <c r="U68" i="33"/>
  <c r="S68" i="33"/>
  <c r="Q68" i="33"/>
  <c r="O68" i="33"/>
  <c r="M68" i="33"/>
  <c r="K68" i="33"/>
  <c r="I68" i="33"/>
  <c r="G68" i="33"/>
  <c r="U67" i="33"/>
  <c r="S67" i="33"/>
  <c r="Q67" i="33"/>
  <c r="O67" i="33"/>
  <c r="M67" i="33"/>
  <c r="K67" i="33"/>
  <c r="I67" i="33"/>
  <c r="G67" i="33"/>
  <c r="U66" i="33"/>
  <c r="S66" i="33"/>
  <c r="Q66" i="33"/>
  <c r="O66" i="33"/>
  <c r="M66" i="33"/>
  <c r="K66" i="33"/>
  <c r="I66" i="33"/>
  <c r="G66" i="33"/>
  <c r="U65" i="33"/>
  <c r="S65" i="33"/>
  <c r="Q65" i="33"/>
  <c r="O65" i="33"/>
  <c r="M65" i="33"/>
  <c r="K65" i="33"/>
  <c r="I65" i="33"/>
  <c r="G65" i="33"/>
  <c r="U64" i="33"/>
  <c r="S64" i="33"/>
  <c r="Q64" i="33"/>
  <c r="O64" i="33"/>
  <c r="M64" i="33"/>
  <c r="K64" i="33"/>
  <c r="I64" i="33"/>
  <c r="G64" i="33"/>
  <c r="U63" i="33"/>
  <c r="S63" i="33"/>
  <c r="Q63" i="33"/>
  <c r="O63" i="33"/>
  <c r="M63" i="33"/>
  <c r="K63" i="33"/>
  <c r="I63" i="33"/>
  <c r="G63" i="33"/>
  <c r="U62" i="33"/>
  <c r="S62" i="33"/>
  <c r="Q62" i="33"/>
  <c r="O62" i="33"/>
  <c r="M62" i="33"/>
  <c r="K62" i="33"/>
  <c r="I62" i="33"/>
  <c r="G62" i="33"/>
  <c r="U61" i="33"/>
  <c r="S61" i="33"/>
  <c r="Q61" i="33"/>
  <c r="O61" i="33"/>
  <c r="M61" i="33"/>
  <c r="K61" i="33"/>
  <c r="I61" i="33"/>
  <c r="G61" i="33"/>
  <c r="U60" i="33"/>
  <c r="S60" i="33"/>
  <c r="Q60" i="33"/>
  <c r="O60" i="33"/>
  <c r="M60" i="33"/>
  <c r="K60" i="33"/>
  <c r="I60" i="33"/>
  <c r="G60" i="33"/>
  <c r="U59" i="33"/>
  <c r="S59" i="33"/>
  <c r="Q59" i="33"/>
  <c r="O59" i="33"/>
  <c r="M59" i="33"/>
  <c r="K59" i="33"/>
  <c r="I59" i="33"/>
  <c r="G59" i="33"/>
  <c r="U58" i="33"/>
  <c r="S58" i="33"/>
  <c r="Q58" i="33"/>
  <c r="O58" i="33"/>
  <c r="M58" i="33"/>
  <c r="K58" i="33"/>
  <c r="I58" i="33"/>
  <c r="G58" i="33"/>
  <c r="U57" i="33"/>
  <c r="S57" i="33"/>
  <c r="Q57" i="33"/>
  <c r="O57" i="33"/>
  <c r="M57" i="33"/>
  <c r="K57" i="33"/>
  <c r="I57" i="33"/>
  <c r="G57" i="33"/>
  <c r="U56" i="33"/>
  <c r="S56" i="33"/>
  <c r="Q56" i="33"/>
  <c r="O56" i="33"/>
  <c r="M56" i="33"/>
  <c r="K56" i="33"/>
  <c r="I56" i="33"/>
  <c r="G56" i="33"/>
  <c r="U55" i="33"/>
  <c r="S55" i="33"/>
  <c r="Q55" i="33"/>
  <c r="O55" i="33"/>
  <c r="M55" i="33"/>
  <c r="K55" i="33"/>
  <c r="I55" i="33"/>
  <c r="G55" i="33"/>
  <c r="U54" i="33"/>
  <c r="S54" i="33"/>
  <c r="Q54" i="33"/>
  <c r="O54" i="33"/>
  <c r="M54" i="33"/>
  <c r="K54" i="33"/>
  <c r="I54" i="33"/>
  <c r="G54" i="33"/>
  <c r="U53" i="33"/>
  <c r="S53" i="33"/>
  <c r="Q53" i="33"/>
  <c r="O53" i="33"/>
  <c r="M53" i="33"/>
  <c r="K53" i="33"/>
  <c r="I53" i="33"/>
  <c r="G53" i="33"/>
  <c r="U52" i="33"/>
  <c r="S52" i="33"/>
  <c r="Q52" i="33"/>
  <c r="O52" i="33"/>
  <c r="M52" i="33"/>
  <c r="K52" i="33"/>
  <c r="I52" i="33"/>
  <c r="G52" i="33"/>
  <c r="U51" i="33"/>
  <c r="S51" i="33"/>
  <c r="Q51" i="33"/>
  <c r="O51" i="33"/>
  <c r="M51" i="33"/>
  <c r="K51" i="33"/>
  <c r="I51" i="33"/>
  <c r="G51" i="33"/>
  <c r="U50" i="33"/>
  <c r="S50" i="33"/>
  <c r="Q50" i="33"/>
  <c r="O50" i="33"/>
  <c r="M50" i="33"/>
  <c r="K50" i="33"/>
  <c r="I50" i="33"/>
  <c r="G50" i="33"/>
  <c r="U49" i="33"/>
  <c r="S49" i="33"/>
  <c r="Q49" i="33"/>
  <c r="O49" i="33"/>
  <c r="M49" i="33"/>
  <c r="K49" i="33"/>
  <c r="I49" i="33"/>
  <c r="G49" i="33"/>
  <c r="U48" i="33"/>
  <c r="S48" i="33"/>
  <c r="Q48" i="33"/>
  <c r="O48" i="33"/>
  <c r="M48" i="33"/>
  <c r="K48" i="33"/>
  <c r="I48" i="33"/>
  <c r="G48" i="33"/>
  <c r="U47" i="33"/>
  <c r="S47" i="33"/>
  <c r="Q47" i="33"/>
  <c r="O47" i="33"/>
  <c r="M47" i="33"/>
  <c r="K47" i="33"/>
  <c r="I47" i="33"/>
  <c r="G47" i="33"/>
  <c r="U46" i="33"/>
  <c r="S46" i="33"/>
  <c r="Q46" i="33"/>
  <c r="O46" i="33"/>
  <c r="M46" i="33"/>
  <c r="K46" i="33"/>
  <c r="I46" i="33"/>
  <c r="G46" i="33"/>
  <c r="U45" i="33"/>
  <c r="S45" i="33"/>
  <c r="Q45" i="33"/>
  <c r="O45" i="33"/>
  <c r="M45" i="33"/>
  <c r="K45" i="33"/>
  <c r="I45" i="33"/>
  <c r="G45" i="33"/>
  <c r="U44" i="33"/>
  <c r="S44" i="33"/>
  <c r="Q44" i="33"/>
  <c r="O44" i="33"/>
  <c r="M44" i="33"/>
  <c r="K44" i="33"/>
  <c r="I44" i="33"/>
  <c r="G44" i="33"/>
  <c r="U43" i="33"/>
  <c r="S43" i="33"/>
  <c r="Q43" i="33"/>
  <c r="O43" i="33"/>
  <c r="M43" i="33"/>
  <c r="K43" i="33"/>
  <c r="I43" i="33"/>
  <c r="G43" i="33"/>
  <c r="U42" i="33"/>
  <c r="S42" i="33"/>
  <c r="Q42" i="33"/>
  <c r="O42" i="33"/>
  <c r="M42" i="33"/>
  <c r="K42" i="33"/>
  <c r="I42" i="33"/>
  <c r="G42" i="33"/>
  <c r="U41" i="33"/>
  <c r="S41" i="33"/>
  <c r="Q41" i="33"/>
  <c r="O41" i="33"/>
  <c r="M41" i="33"/>
  <c r="K41" i="33"/>
  <c r="I41" i="33"/>
  <c r="G41" i="33"/>
  <c r="U40" i="33"/>
  <c r="S40" i="33"/>
  <c r="Q40" i="33"/>
  <c r="O40" i="33"/>
  <c r="M40" i="33"/>
  <c r="K40" i="33"/>
  <c r="I40" i="33"/>
  <c r="G40" i="33"/>
  <c r="U39" i="33"/>
  <c r="S39" i="33"/>
  <c r="Q39" i="33"/>
  <c r="O39" i="33"/>
  <c r="M39" i="33"/>
  <c r="K39" i="33"/>
  <c r="I39" i="33"/>
  <c r="G39" i="33"/>
  <c r="U38" i="33"/>
  <c r="S38" i="33"/>
  <c r="Q38" i="33"/>
  <c r="O38" i="33"/>
  <c r="M38" i="33"/>
  <c r="K38" i="33"/>
  <c r="I38" i="33"/>
  <c r="G38" i="33"/>
  <c r="U37" i="33"/>
  <c r="S37" i="33"/>
  <c r="Q37" i="33"/>
  <c r="O37" i="33"/>
  <c r="M37" i="33"/>
  <c r="K37" i="33"/>
  <c r="I37" i="33"/>
  <c r="G37" i="33"/>
  <c r="U36" i="33"/>
  <c r="S36" i="33"/>
  <c r="Q36" i="33"/>
  <c r="O36" i="33"/>
  <c r="M36" i="33"/>
  <c r="K36" i="33"/>
  <c r="I36" i="33"/>
  <c r="G36" i="33"/>
  <c r="U35" i="33"/>
  <c r="S35" i="33"/>
  <c r="Q35" i="33"/>
  <c r="O35" i="33"/>
  <c r="M35" i="33"/>
  <c r="K35" i="33"/>
  <c r="I35" i="33"/>
  <c r="G35" i="33"/>
  <c r="U34" i="33"/>
  <c r="S34" i="33"/>
  <c r="Q34" i="33"/>
  <c r="O34" i="33"/>
  <c r="M34" i="33"/>
  <c r="K34" i="33"/>
  <c r="I34" i="33"/>
  <c r="G34" i="33"/>
  <c r="U33" i="33"/>
  <c r="S33" i="33"/>
  <c r="Q33" i="33"/>
  <c r="O33" i="33"/>
  <c r="M33" i="33"/>
  <c r="K33" i="33"/>
  <c r="I33" i="33"/>
  <c r="G33" i="33"/>
  <c r="U32" i="33"/>
  <c r="S32" i="33"/>
  <c r="Q32" i="33"/>
  <c r="O32" i="33"/>
  <c r="M32" i="33"/>
  <c r="K32" i="33"/>
  <c r="I32" i="33"/>
  <c r="G32" i="33"/>
  <c r="U31" i="33"/>
  <c r="S31" i="33"/>
  <c r="Q31" i="33"/>
  <c r="O31" i="33"/>
  <c r="M31" i="33"/>
  <c r="K31" i="33"/>
  <c r="I31" i="33"/>
  <c r="G31" i="33"/>
  <c r="U30" i="33"/>
  <c r="S30" i="33"/>
  <c r="Q30" i="33"/>
  <c r="O30" i="33"/>
  <c r="M30" i="33"/>
  <c r="K30" i="33"/>
  <c r="I30" i="33"/>
  <c r="G30" i="33"/>
  <c r="U29" i="33"/>
  <c r="S29" i="33"/>
  <c r="Q29" i="33"/>
  <c r="O29" i="33"/>
  <c r="M29" i="33"/>
  <c r="K29" i="33"/>
  <c r="I29" i="33"/>
  <c r="G29" i="33"/>
  <c r="U28" i="33"/>
  <c r="S28" i="33"/>
  <c r="Q28" i="33"/>
  <c r="O28" i="33"/>
  <c r="M28" i="33"/>
  <c r="K28" i="33"/>
  <c r="I28" i="33"/>
  <c r="G28" i="33"/>
  <c r="U27" i="33"/>
  <c r="S27" i="33"/>
  <c r="Q27" i="33"/>
  <c r="O27" i="33"/>
  <c r="M27" i="33"/>
  <c r="K27" i="33"/>
  <c r="I27" i="33"/>
  <c r="G27" i="33"/>
  <c r="U26" i="33"/>
  <c r="S26" i="33"/>
  <c r="Q26" i="33"/>
  <c r="O26" i="33"/>
  <c r="M26" i="33"/>
  <c r="K26" i="33"/>
  <c r="I26" i="33"/>
  <c r="G26" i="33"/>
  <c r="U25" i="33"/>
  <c r="S25" i="33"/>
  <c r="Q25" i="33"/>
  <c r="O25" i="33"/>
  <c r="M25" i="33"/>
  <c r="K25" i="33"/>
  <c r="I25" i="33"/>
  <c r="G25" i="33"/>
  <c r="U24" i="33"/>
  <c r="S24" i="33"/>
  <c r="Q24" i="33"/>
  <c r="O24" i="33"/>
  <c r="M24" i="33"/>
  <c r="K24" i="33"/>
  <c r="I24" i="33"/>
  <c r="G24" i="33"/>
  <c r="U23" i="33"/>
  <c r="S23" i="33"/>
  <c r="Q23" i="33"/>
  <c r="O23" i="33"/>
  <c r="M23" i="33"/>
  <c r="K23" i="33"/>
  <c r="I23" i="33"/>
  <c r="G23" i="33"/>
  <c r="U22" i="33"/>
  <c r="S22" i="33"/>
  <c r="Q22" i="33"/>
  <c r="O22" i="33"/>
  <c r="M22" i="33"/>
  <c r="K22" i="33"/>
  <c r="I22" i="33"/>
  <c r="G22" i="33"/>
  <c r="U21" i="33"/>
  <c r="S21" i="33"/>
  <c r="Q21" i="33"/>
  <c r="O21" i="33"/>
  <c r="M21" i="33"/>
  <c r="K21" i="33"/>
  <c r="I21" i="33"/>
  <c r="G21" i="33"/>
  <c r="U20" i="33"/>
  <c r="S20" i="33"/>
  <c r="Q20" i="33"/>
  <c r="O20" i="33"/>
  <c r="M20" i="33"/>
  <c r="K20" i="33"/>
  <c r="I20" i="33"/>
  <c r="G20" i="33"/>
  <c r="U19" i="33"/>
  <c r="S19" i="33"/>
  <c r="Q19" i="33"/>
  <c r="O19" i="33"/>
  <c r="M19" i="33"/>
  <c r="K19" i="33"/>
  <c r="I19" i="33"/>
  <c r="G19" i="33"/>
  <c r="U18" i="33"/>
  <c r="S18" i="33"/>
  <c r="Q18" i="33"/>
  <c r="O18" i="33"/>
  <c r="M18" i="33"/>
  <c r="K18" i="33"/>
  <c r="I18" i="33"/>
  <c r="G18" i="33"/>
  <c r="U17" i="33"/>
  <c r="S17" i="33"/>
  <c r="Q17" i="33"/>
  <c r="O17" i="33"/>
  <c r="M17" i="33"/>
  <c r="K17" i="33"/>
  <c r="I17" i="33"/>
  <c r="G17" i="33"/>
  <c r="U16" i="33"/>
  <c r="S16" i="33"/>
  <c r="Q16" i="33"/>
  <c r="O16" i="33"/>
  <c r="M16" i="33"/>
  <c r="K16" i="33"/>
  <c r="I16" i="33"/>
  <c r="G16" i="33"/>
  <c r="U15" i="33"/>
  <c r="S15" i="33"/>
  <c r="Q15" i="33"/>
  <c r="O15" i="33"/>
  <c r="M15" i="33"/>
  <c r="K15" i="33"/>
  <c r="I15" i="33"/>
  <c r="G15" i="33"/>
  <c r="U14" i="33"/>
  <c r="S14" i="33"/>
  <c r="Q14" i="33"/>
  <c r="O14" i="33"/>
  <c r="M14" i="33"/>
  <c r="K14" i="33"/>
  <c r="I14" i="33"/>
  <c r="G14" i="33"/>
  <c r="U13" i="33"/>
  <c r="S13" i="33"/>
  <c r="Q13" i="33"/>
  <c r="O13" i="33"/>
  <c r="M13" i="33"/>
  <c r="K13" i="33"/>
  <c r="I13" i="33"/>
  <c r="G13" i="33"/>
  <c r="U12" i="33"/>
  <c r="S12" i="33"/>
  <c r="Q12" i="33"/>
  <c r="O12" i="33"/>
  <c r="M12" i="33"/>
  <c r="K12" i="33"/>
  <c r="I12" i="33"/>
  <c r="G12" i="33"/>
  <c r="U11" i="33"/>
  <c r="S11" i="33"/>
  <c r="Q11" i="33"/>
  <c r="O11" i="33"/>
  <c r="M11" i="33"/>
  <c r="K11" i="33"/>
  <c r="I11" i="33"/>
  <c r="G11" i="33"/>
  <c r="U10" i="33"/>
  <c r="S10" i="33"/>
  <c r="Q10" i="33"/>
  <c r="O10" i="33"/>
  <c r="M10" i="33"/>
  <c r="K10" i="33"/>
  <c r="I10" i="33"/>
  <c r="G10" i="33"/>
  <c r="U9" i="33"/>
  <c r="S9" i="33"/>
  <c r="Q9" i="33"/>
  <c r="O9" i="33"/>
  <c r="M9" i="33"/>
  <c r="K9" i="33"/>
  <c r="I9" i="33"/>
  <c r="G9" i="33"/>
  <c r="U8" i="33"/>
  <c r="S8" i="33"/>
  <c r="Q8" i="33"/>
  <c r="O8" i="33"/>
  <c r="M8" i="33"/>
  <c r="K8" i="33"/>
  <c r="I8" i="33"/>
  <c r="G8" i="33"/>
  <c r="U7" i="33"/>
  <c r="S7" i="33"/>
  <c r="Q7" i="33"/>
  <c r="O7" i="33"/>
  <c r="M7" i="33"/>
  <c r="K7" i="33"/>
  <c r="I7" i="33"/>
  <c r="G7" i="33"/>
  <c r="E6" i="33"/>
  <c r="D6" i="33"/>
  <c r="C6" i="33"/>
  <c r="F6" i="33" s="1"/>
  <c r="G6" i="33" s="1"/>
  <c r="T5" i="33"/>
  <c r="R5" i="33"/>
  <c r="P5" i="33"/>
  <c r="N5" i="33"/>
  <c r="L5" i="33"/>
  <c r="J5" i="33"/>
  <c r="H5" i="33"/>
  <c r="F5" i="33"/>
  <c r="U103" i="31"/>
  <c r="S103" i="31"/>
  <c r="Q103" i="31"/>
  <c r="O103" i="31"/>
  <c r="M103" i="31"/>
  <c r="K103" i="31"/>
  <c r="I103" i="31"/>
  <c r="G103" i="31"/>
  <c r="U102" i="31"/>
  <c r="S102" i="31"/>
  <c r="Q102" i="31"/>
  <c r="O102" i="31"/>
  <c r="M102" i="31"/>
  <c r="K102" i="31"/>
  <c r="I102" i="31"/>
  <c r="G102" i="31"/>
  <c r="U101" i="31"/>
  <c r="S101" i="31"/>
  <c r="Q101" i="31"/>
  <c r="O101" i="31"/>
  <c r="M101" i="31"/>
  <c r="K101" i="31"/>
  <c r="I101" i="31"/>
  <c r="G101" i="31"/>
  <c r="U100" i="31"/>
  <c r="S100" i="31"/>
  <c r="Q100" i="31"/>
  <c r="O100" i="31"/>
  <c r="M100" i="31"/>
  <c r="K100" i="31"/>
  <c r="I100" i="31"/>
  <c r="G100" i="31"/>
  <c r="U99" i="31"/>
  <c r="S99" i="31"/>
  <c r="Q99" i="31"/>
  <c r="O99" i="31"/>
  <c r="M99" i="31"/>
  <c r="K99" i="31"/>
  <c r="I99" i="31"/>
  <c r="G99" i="31"/>
  <c r="U98" i="31"/>
  <c r="S98" i="31"/>
  <c r="Q98" i="31"/>
  <c r="O98" i="31"/>
  <c r="M98" i="31"/>
  <c r="K98" i="31"/>
  <c r="I98" i="31"/>
  <c r="G98" i="31"/>
  <c r="U97" i="31"/>
  <c r="S97" i="31"/>
  <c r="Q97" i="31"/>
  <c r="O97" i="31"/>
  <c r="M97" i="31"/>
  <c r="K97" i="31"/>
  <c r="I97" i="31"/>
  <c r="G97" i="31"/>
  <c r="U96" i="31"/>
  <c r="S96" i="31"/>
  <c r="Q96" i="31"/>
  <c r="O96" i="31"/>
  <c r="M96" i="31"/>
  <c r="K96" i="31"/>
  <c r="I96" i="31"/>
  <c r="G96" i="31"/>
  <c r="U95" i="31"/>
  <c r="S95" i="31"/>
  <c r="Q95" i="31"/>
  <c r="O95" i="31"/>
  <c r="M95" i="31"/>
  <c r="K95" i="31"/>
  <c r="I95" i="31"/>
  <c r="G95" i="31"/>
  <c r="U94" i="31"/>
  <c r="S94" i="31"/>
  <c r="Q94" i="31"/>
  <c r="O94" i="31"/>
  <c r="M94" i="31"/>
  <c r="K94" i="31"/>
  <c r="I94" i="31"/>
  <c r="G94" i="31"/>
  <c r="U93" i="31"/>
  <c r="S93" i="31"/>
  <c r="Q93" i="31"/>
  <c r="O93" i="31"/>
  <c r="M93" i="31"/>
  <c r="K93" i="31"/>
  <c r="I93" i="31"/>
  <c r="G93" i="31"/>
  <c r="U92" i="31"/>
  <c r="S92" i="31"/>
  <c r="Q92" i="31"/>
  <c r="O92" i="31"/>
  <c r="M92" i="31"/>
  <c r="K92" i="31"/>
  <c r="I92" i="31"/>
  <c r="G92" i="31"/>
  <c r="U91" i="31"/>
  <c r="S91" i="31"/>
  <c r="Q91" i="31"/>
  <c r="O91" i="31"/>
  <c r="M91" i="31"/>
  <c r="K91" i="31"/>
  <c r="I91" i="31"/>
  <c r="G91" i="31"/>
  <c r="U90" i="31"/>
  <c r="S90" i="31"/>
  <c r="Q90" i="31"/>
  <c r="O90" i="31"/>
  <c r="M90" i="31"/>
  <c r="K90" i="31"/>
  <c r="I90" i="31"/>
  <c r="G90" i="31"/>
  <c r="U89" i="31"/>
  <c r="S89" i="31"/>
  <c r="Q89" i="31"/>
  <c r="O89" i="31"/>
  <c r="M89" i="31"/>
  <c r="K89" i="31"/>
  <c r="I89" i="31"/>
  <c r="G89" i="31"/>
  <c r="U88" i="31"/>
  <c r="S88" i="31"/>
  <c r="Q88" i="31"/>
  <c r="O88" i="31"/>
  <c r="M88" i="31"/>
  <c r="K88" i="31"/>
  <c r="I88" i="31"/>
  <c r="G88" i="31"/>
  <c r="U87" i="31"/>
  <c r="S87" i="31"/>
  <c r="Q87" i="31"/>
  <c r="O87" i="31"/>
  <c r="M87" i="31"/>
  <c r="K87" i="31"/>
  <c r="I87" i="31"/>
  <c r="G87" i="31"/>
  <c r="U86" i="31"/>
  <c r="S86" i="31"/>
  <c r="Q86" i="31"/>
  <c r="O86" i="31"/>
  <c r="M86" i="31"/>
  <c r="K86" i="31"/>
  <c r="I86" i="31"/>
  <c r="G86" i="31"/>
  <c r="U85" i="31"/>
  <c r="S85" i="31"/>
  <c r="Q85" i="31"/>
  <c r="O85" i="31"/>
  <c r="M85" i="31"/>
  <c r="K85" i="31"/>
  <c r="I85" i="31"/>
  <c r="G85" i="31"/>
  <c r="U84" i="31"/>
  <c r="S84" i="31"/>
  <c r="Q84" i="31"/>
  <c r="O84" i="31"/>
  <c r="M84" i="31"/>
  <c r="K84" i="31"/>
  <c r="I84" i="31"/>
  <c r="G84" i="31"/>
  <c r="U83" i="31"/>
  <c r="S83" i="31"/>
  <c r="Q83" i="31"/>
  <c r="O83" i="31"/>
  <c r="M83" i="31"/>
  <c r="K83" i="31"/>
  <c r="I83" i="31"/>
  <c r="G83" i="31"/>
  <c r="U82" i="31"/>
  <c r="S82" i="31"/>
  <c r="Q82" i="31"/>
  <c r="O82" i="31"/>
  <c r="M82" i="31"/>
  <c r="K82" i="31"/>
  <c r="I82" i="31"/>
  <c r="G82" i="31"/>
  <c r="U81" i="31"/>
  <c r="S81" i="31"/>
  <c r="Q81" i="31"/>
  <c r="O81" i="31"/>
  <c r="M81" i="31"/>
  <c r="K81" i="31"/>
  <c r="I81" i="31"/>
  <c r="G81" i="31"/>
  <c r="U80" i="31"/>
  <c r="S80" i="31"/>
  <c r="Q80" i="31"/>
  <c r="O80" i="31"/>
  <c r="M80" i="31"/>
  <c r="K80" i="31"/>
  <c r="I80" i="31"/>
  <c r="G80" i="31"/>
  <c r="U79" i="31"/>
  <c r="S79" i="31"/>
  <c r="Q79" i="31"/>
  <c r="O79" i="31"/>
  <c r="M79" i="31"/>
  <c r="K79" i="31"/>
  <c r="I79" i="31"/>
  <c r="G79" i="31"/>
  <c r="U78" i="31"/>
  <c r="S78" i="31"/>
  <c r="Q78" i="31"/>
  <c r="O78" i="31"/>
  <c r="M78" i="31"/>
  <c r="K78" i="31"/>
  <c r="I78" i="31"/>
  <c r="G78" i="31"/>
  <c r="U77" i="31"/>
  <c r="S77" i="31"/>
  <c r="Q77" i="31"/>
  <c r="O77" i="31"/>
  <c r="M77" i="31"/>
  <c r="K77" i="31"/>
  <c r="I77" i="31"/>
  <c r="G77" i="31"/>
  <c r="U76" i="31"/>
  <c r="S76" i="31"/>
  <c r="Q76" i="31"/>
  <c r="O76" i="31"/>
  <c r="M76" i="31"/>
  <c r="K76" i="31"/>
  <c r="I76" i="31"/>
  <c r="G76" i="31"/>
  <c r="U75" i="31"/>
  <c r="S75" i="31"/>
  <c r="Q75" i="31"/>
  <c r="O75" i="31"/>
  <c r="M75" i="31"/>
  <c r="K75" i="31"/>
  <c r="I75" i="31"/>
  <c r="G75" i="31"/>
  <c r="U74" i="31"/>
  <c r="S74" i="31"/>
  <c r="Q74" i="31"/>
  <c r="O74" i="31"/>
  <c r="M74" i="31"/>
  <c r="K74" i="31"/>
  <c r="I74" i="31"/>
  <c r="G74" i="31"/>
  <c r="U73" i="31"/>
  <c r="S73" i="31"/>
  <c r="Q73" i="31"/>
  <c r="O73" i="31"/>
  <c r="M73" i="31"/>
  <c r="K73" i="31"/>
  <c r="I73" i="31"/>
  <c r="G73" i="31"/>
  <c r="U72" i="31"/>
  <c r="S72" i="31"/>
  <c r="Q72" i="31"/>
  <c r="O72" i="31"/>
  <c r="M72" i="31"/>
  <c r="K72" i="31"/>
  <c r="I72" i="31"/>
  <c r="G72" i="31"/>
  <c r="U71" i="31"/>
  <c r="S71" i="31"/>
  <c r="Q71" i="31"/>
  <c r="O71" i="31"/>
  <c r="M71" i="31"/>
  <c r="K71" i="31"/>
  <c r="I71" i="31"/>
  <c r="G71" i="31"/>
  <c r="U70" i="31"/>
  <c r="S70" i="31"/>
  <c r="Q70" i="31"/>
  <c r="O70" i="31"/>
  <c r="M70" i="31"/>
  <c r="K70" i="31"/>
  <c r="I70" i="31"/>
  <c r="G70" i="31"/>
  <c r="U69" i="31"/>
  <c r="S69" i="31"/>
  <c r="Q69" i="31"/>
  <c r="O69" i="31"/>
  <c r="M69" i="31"/>
  <c r="K69" i="31"/>
  <c r="I69" i="31"/>
  <c r="G69" i="31"/>
  <c r="U68" i="31"/>
  <c r="S68" i="31"/>
  <c r="Q68" i="31"/>
  <c r="O68" i="31"/>
  <c r="M68" i="31"/>
  <c r="K68" i="31"/>
  <c r="I68" i="31"/>
  <c r="G68" i="31"/>
  <c r="U67" i="31"/>
  <c r="S67" i="31"/>
  <c r="Q67" i="31"/>
  <c r="O67" i="31"/>
  <c r="M67" i="31"/>
  <c r="K67" i="31"/>
  <c r="I67" i="31"/>
  <c r="G67" i="31"/>
  <c r="U66" i="31"/>
  <c r="S66" i="31"/>
  <c r="Q66" i="31"/>
  <c r="O66" i="31"/>
  <c r="M66" i="31"/>
  <c r="K66" i="31"/>
  <c r="I66" i="31"/>
  <c r="G66" i="31"/>
  <c r="U65" i="31"/>
  <c r="S65" i="31"/>
  <c r="Q65" i="31"/>
  <c r="O65" i="31"/>
  <c r="M65" i="31"/>
  <c r="K65" i="31"/>
  <c r="I65" i="31"/>
  <c r="G65" i="31"/>
  <c r="U64" i="31"/>
  <c r="S64" i="31"/>
  <c r="Q64" i="31"/>
  <c r="O64" i="31"/>
  <c r="M64" i="31"/>
  <c r="K64" i="31"/>
  <c r="I64" i="31"/>
  <c r="G64" i="31"/>
  <c r="U63" i="31"/>
  <c r="S63" i="31"/>
  <c r="Q63" i="31"/>
  <c r="O63" i="31"/>
  <c r="M63" i="31"/>
  <c r="K63" i="31"/>
  <c r="I63" i="31"/>
  <c r="G63" i="31"/>
  <c r="U62" i="31"/>
  <c r="S62" i="31"/>
  <c r="Q62" i="31"/>
  <c r="O62" i="31"/>
  <c r="M62" i="31"/>
  <c r="K62" i="31"/>
  <c r="I62" i="31"/>
  <c r="G62" i="31"/>
  <c r="U61" i="31"/>
  <c r="S61" i="31"/>
  <c r="Q61" i="31"/>
  <c r="O61" i="31"/>
  <c r="M61" i="31"/>
  <c r="K61" i="31"/>
  <c r="I61" i="31"/>
  <c r="G61" i="31"/>
  <c r="U60" i="31"/>
  <c r="S60" i="31"/>
  <c r="Q60" i="31"/>
  <c r="O60" i="31"/>
  <c r="M60" i="31"/>
  <c r="K60" i="31"/>
  <c r="I60" i="31"/>
  <c r="G60" i="31"/>
  <c r="U59" i="31"/>
  <c r="S59" i="31"/>
  <c r="Q59" i="31"/>
  <c r="O59" i="31"/>
  <c r="M59" i="31"/>
  <c r="K59" i="31"/>
  <c r="I59" i="31"/>
  <c r="G59" i="31"/>
  <c r="U58" i="31"/>
  <c r="S58" i="31"/>
  <c r="Q58" i="31"/>
  <c r="O58" i="31"/>
  <c r="M58" i="31"/>
  <c r="K58" i="31"/>
  <c r="I58" i="31"/>
  <c r="G58" i="31"/>
  <c r="U57" i="31"/>
  <c r="S57" i="31"/>
  <c r="Q57" i="31"/>
  <c r="O57" i="31"/>
  <c r="M57" i="31"/>
  <c r="K57" i="31"/>
  <c r="I57" i="31"/>
  <c r="G57" i="31"/>
  <c r="U56" i="31"/>
  <c r="S56" i="31"/>
  <c r="Q56" i="31"/>
  <c r="O56" i="31"/>
  <c r="M56" i="31"/>
  <c r="K56" i="31"/>
  <c r="I56" i="31"/>
  <c r="G56" i="31"/>
  <c r="U55" i="31"/>
  <c r="S55" i="31"/>
  <c r="Q55" i="31"/>
  <c r="O55" i="31"/>
  <c r="M55" i="31"/>
  <c r="K55" i="31"/>
  <c r="I55" i="31"/>
  <c r="G55" i="31"/>
  <c r="U54" i="31"/>
  <c r="S54" i="31"/>
  <c r="Q54" i="31"/>
  <c r="O54" i="31"/>
  <c r="M54" i="31"/>
  <c r="K54" i="31"/>
  <c r="I54" i="31"/>
  <c r="G54" i="31"/>
  <c r="U53" i="31"/>
  <c r="S53" i="31"/>
  <c r="Q53" i="31"/>
  <c r="O53" i="31"/>
  <c r="M53" i="31"/>
  <c r="K53" i="31"/>
  <c r="I53" i="31"/>
  <c r="G53" i="31"/>
  <c r="U52" i="31"/>
  <c r="S52" i="31"/>
  <c r="Q52" i="31"/>
  <c r="O52" i="31"/>
  <c r="M52" i="31"/>
  <c r="K52" i="31"/>
  <c r="I52" i="31"/>
  <c r="G52" i="31"/>
  <c r="U51" i="31"/>
  <c r="S51" i="31"/>
  <c r="Q51" i="31"/>
  <c r="O51" i="31"/>
  <c r="M51" i="31"/>
  <c r="K51" i="31"/>
  <c r="I51" i="31"/>
  <c r="G51" i="31"/>
  <c r="U50" i="31"/>
  <c r="S50" i="31"/>
  <c r="Q50" i="31"/>
  <c r="O50" i="31"/>
  <c r="M50" i="31"/>
  <c r="K50" i="31"/>
  <c r="I50" i="31"/>
  <c r="G50" i="31"/>
  <c r="U49" i="31"/>
  <c r="S49" i="31"/>
  <c r="Q49" i="31"/>
  <c r="O49" i="31"/>
  <c r="M49" i="31"/>
  <c r="K49" i="31"/>
  <c r="I49" i="31"/>
  <c r="G49" i="31"/>
  <c r="U48" i="31"/>
  <c r="S48" i="31"/>
  <c r="Q48" i="31"/>
  <c r="O48" i="31"/>
  <c r="M48" i="31"/>
  <c r="K48" i="31"/>
  <c r="I48" i="31"/>
  <c r="G48" i="31"/>
  <c r="U47" i="31"/>
  <c r="S47" i="31"/>
  <c r="Q47" i="31"/>
  <c r="O47" i="31"/>
  <c r="M47" i="31"/>
  <c r="K47" i="31"/>
  <c r="I47" i="31"/>
  <c r="G47" i="31"/>
  <c r="U46" i="31"/>
  <c r="S46" i="31"/>
  <c r="Q46" i="31"/>
  <c r="O46" i="31"/>
  <c r="M46" i="31"/>
  <c r="K46" i="31"/>
  <c r="I46" i="31"/>
  <c r="G46" i="31"/>
  <c r="U45" i="31"/>
  <c r="S45" i="31"/>
  <c r="Q45" i="31"/>
  <c r="O45" i="31"/>
  <c r="M45" i="31"/>
  <c r="K45" i="31"/>
  <c r="I45" i="31"/>
  <c r="G45" i="31"/>
  <c r="U44" i="31"/>
  <c r="S44" i="31"/>
  <c r="Q44" i="31"/>
  <c r="O44" i="31"/>
  <c r="M44" i="31"/>
  <c r="K44" i="31"/>
  <c r="I44" i="31"/>
  <c r="G44" i="31"/>
  <c r="U43" i="31"/>
  <c r="S43" i="31"/>
  <c r="Q43" i="31"/>
  <c r="O43" i="31"/>
  <c r="M43" i="31"/>
  <c r="K43" i="31"/>
  <c r="I43" i="31"/>
  <c r="G43" i="31"/>
  <c r="U42" i="31"/>
  <c r="S42" i="31"/>
  <c r="Q42" i="31"/>
  <c r="O42" i="31"/>
  <c r="M42" i="31"/>
  <c r="K42" i="31"/>
  <c r="I42" i="31"/>
  <c r="G42" i="31"/>
  <c r="U41" i="31"/>
  <c r="S41" i="31"/>
  <c r="Q41" i="31"/>
  <c r="O41" i="31"/>
  <c r="M41" i="31"/>
  <c r="K41" i="31"/>
  <c r="I41" i="31"/>
  <c r="G41" i="31"/>
  <c r="U40" i="31"/>
  <c r="S40" i="31"/>
  <c r="Q40" i="31"/>
  <c r="O40" i="31"/>
  <c r="M40" i="31"/>
  <c r="K40" i="31"/>
  <c r="I40" i="31"/>
  <c r="G40" i="31"/>
  <c r="U39" i="31"/>
  <c r="S39" i="31"/>
  <c r="Q39" i="31"/>
  <c r="O39" i="31"/>
  <c r="M39" i="31"/>
  <c r="K39" i="31"/>
  <c r="I39" i="31"/>
  <c r="G39" i="31"/>
  <c r="U38" i="31"/>
  <c r="S38" i="31"/>
  <c r="Q38" i="31"/>
  <c r="O38" i="31"/>
  <c r="M38" i="31"/>
  <c r="K38" i="31"/>
  <c r="I38" i="31"/>
  <c r="G38" i="31"/>
  <c r="U37" i="31"/>
  <c r="S37" i="31"/>
  <c r="Q37" i="31"/>
  <c r="O37" i="31"/>
  <c r="M37" i="31"/>
  <c r="K37" i="31"/>
  <c r="I37" i="31"/>
  <c r="G37" i="31"/>
  <c r="U36" i="31"/>
  <c r="S36" i="31"/>
  <c r="Q36" i="31"/>
  <c r="O36" i="31"/>
  <c r="M36" i="31"/>
  <c r="K36" i="31"/>
  <c r="I36" i="31"/>
  <c r="G36" i="31"/>
  <c r="U35" i="31"/>
  <c r="S35" i="31"/>
  <c r="Q35" i="31"/>
  <c r="O35" i="31"/>
  <c r="M35" i="31"/>
  <c r="K35" i="31"/>
  <c r="I35" i="31"/>
  <c r="G35" i="31"/>
  <c r="U34" i="31"/>
  <c r="S34" i="31"/>
  <c r="Q34" i="31"/>
  <c r="O34" i="31"/>
  <c r="M34" i="31"/>
  <c r="K34" i="31"/>
  <c r="I34" i="31"/>
  <c r="G34" i="31"/>
  <c r="U33" i="31"/>
  <c r="S33" i="31"/>
  <c r="Q33" i="31"/>
  <c r="O33" i="31"/>
  <c r="M33" i="31"/>
  <c r="K33" i="31"/>
  <c r="I33" i="31"/>
  <c r="G33" i="31"/>
  <c r="U32" i="31"/>
  <c r="S32" i="31"/>
  <c r="Q32" i="31"/>
  <c r="O32" i="31"/>
  <c r="M32" i="31"/>
  <c r="K32" i="31"/>
  <c r="I32" i="31"/>
  <c r="G32" i="31"/>
  <c r="U31" i="31"/>
  <c r="S31" i="31"/>
  <c r="Q31" i="31"/>
  <c r="O31" i="31"/>
  <c r="M31" i="31"/>
  <c r="K31" i="31"/>
  <c r="I31" i="31"/>
  <c r="G31" i="31"/>
  <c r="U30" i="31"/>
  <c r="S30" i="31"/>
  <c r="Q30" i="31"/>
  <c r="O30" i="31"/>
  <c r="M30" i="31"/>
  <c r="K30" i="31"/>
  <c r="I30" i="31"/>
  <c r="G30" i="31"/>
  <c r="U29" i="31"/>
  <c r="S29" i="31"/>
  <c r="Q29" i="31"/>
  <c r="O29" i="31"/>
  <c r="M29" i="31"/>
  <c r="K29" i="31"/>
  <c r="I29" i="31"/>
  <c r="G29" i="31"/>
  <c r="U28" i="31"/>
  <c r="S28" i="31"/>
  <c r="Q28" i="31"/>
  <c r="O28" i="31"/>
  <c r="M28" i="31"/>
  <c r="K28" i="31"/>
  <c r="I28" i="31"/>
  <c r="G28" i="31"/>
  <c r="U27" i="31"/>
  <c r="S27" i="31"/>
  <c r="Q27" i="31"/>
  <c r="O27" i="31"/>
  <c r="M27" i="31"/>
  <c r="K27" i="31"/>
  <c r="I27" i="31"/>
  <c r="G27" i="31"/>
  <c r="U26" i="31"/>
  <c r="S26" i="31"/>
  <c r="Q26" i="31"/>
  <c r="O26" i="31"/>
  <c r="M26" i="31"/>
  <c r="K26" i="31"/>
  <c r="I26" i="31"/>
  <c r="G26" i="31"/>
  <c r="U25" i="31"/>
  <c r="S25" i="31"/>
  <c r="Q25" i="31"/>
  <c r="O25" i="31"/>
  <c r="M25" i="31"/>
  <c r="K25" i="31"/>
  <c r="I25" i="31"/>
  <c r="G25" i="31"/>
  <c r="U24" i="31"/>
  <c r="S24" i="31"/>
  <c r="Q24" i="31"/>
  <c r="O24" i="31"/>
  <c r="M24" i="31"/>
  <c r="K24" i="31"/>
  <c r="I24" i="31"/>
  <c r="G24" i="31"/>
  <c r="U23" i="31"/>
  <c r="S23" i="31"/>
  <c r="Q23" i="31"/>
  <c r="O23" i="31"/>
  <c r="M23" i="31"/>
  <c r="K23" i="31"/>
  <c r="I23" i="31"/>
  <c r="G23" i="31"/>
  <c r="U22" i="31"/>
  <c r="S22" i="31"/>
  <c r="Q22" i="31"/>
  <c r="O22" i="31"/>
  <c r="M22" i="31"/>
  <c r="K22" i="31"/>
  <c r="I22" i="31"/>
  <c r="G22" i="31"/>
  <c r="U21" i="31"/>
  <c r="S21" i="31"/>
  <c r="Q21" i="31"/>
  <c r="O21" i="31"/>
  <c r="M21" i="31"/>
  <c r="K21" i="31"/>
  <c r="I21" i="31"/>
  <c r="G21" i="31"/>
  <c r="U20" i="31"/>
  <c r="S20" i="31"/>
  <c r="Q20" i="31"/>
  <c r="O20" i="31"/>
  <c r="M20" i="31"/>
  <c r="K20" i="31"/>
  <c r="I20" i="31"/>
  <c r="G20" i="31"/>
  <c r="U19" i="31"/>
  <c r="S19" i="31"/>
  <c r="Q19" i="31"/>
  <c r="O19" i="31"/>
  <c r="M19" i="31"/>
  <c r="K19" i="31"/>
  <c r="I19" i="31"/>
  <c r="G19" i="31"/>
  <c r="U18" i="31"/>
  <c r="S18" i="31"/>
  <c r="Q18" i="31"/>
  <c r="O18" i="31"/>
  <c r="M18" i="31"/>
  <c r="K18" i="31"/>
  <c r="I18" i="31"/>
  <c r="G18" i="31"/>
  <c r="U17" i="31"/>
  <c r="S17" i="31"/>
  <c r="Q17" i="31"/>
  <c r="O17" i="31"/>
  <c r="M17" i="31"/>
  <c r="K17" i="31"/>
  <c r="I17" i="31"/>
  <c r="G17" i="31"/>
  <c r="U16" i="31"/>
  <c r="S16" i="31"/>
  <c r="Q16" i="31"/>
  <c r="O16" i="31"/>
  <c r="M16" i="31"/>
  <c r="K16" i="31"/>
  <c r="I16" i="31"/>
  <c r="G16" i="31"/>
  <c r="U15" i="31"/>
  <c r="S15" i="31"/>
  <c r="Q15" i="31"/>
  <c r="O15" i="31"/>
  <c r="M15" i="31"/>
  <c r="K15" i="31"/>
  <c r="I15" i="31"/>
  <c r="G15" i="31"/>
  <c r="U14" i="31"/>
  <c r="S14" i="31"/>
  <c r="Q14" i="31"/>
  <c r="O14" i="31"/>
  <c r="M14" i="31"/>
  <c r="K14" i="31"/>
  <c r="I14" i="31"/>
  <c r="G14" i="31"/>
  <c r="U13" i="31"/>
  <c r="S13" i="31"/>
  <c r="Q13" i="31"/>
  <c r="O13" i="31"/>
  <c r="M13" i="31"/>
  <c r="K13" i="31"/>
  <c r="I13" i="31"/>
  <c r="G13" i="31"/>
  <c r="U12" i="31"/>
  <c r="S12" i="31"/>
  <c r="Q12" i="31"/>
  <c r="O12" i="31"/>
  <c r="M12" i="31"/>
  <c r="K12" i="31"/>
  <c r="I12" i="31"/>
  <c r="G12" i="31"/>
  <c r="U11" i="31"/>
  <c r="S11" i="31"/>
  <c r="Q11" i="31"/>
  <c r="O11" i="31"/>
  <c r="M11" i="31"/>
  <c r="K11" i="31"/>
  <c r="I11" i="31"/>
  <c r="G11" i="31"/>
  <c r="U10" i="31"/>
  <c r="S10" i="31"/>
  <c r="Q10" i="31"/>
  <c r="O10" i="31"/>
  <c r="M10" i="31"/>
  <c r="K10" i="31"/>
  <c r="I10" i="31"/>
  <c r="G10" i="31"/>
  <c r="U9" i="31"/>
  <c r="S9" i="31"/>
  <c r="Q9" i="31"/>
  <c r="O9" i="31"/>
  <c r="M9" i="31"/>
  <c r="K9" i="31"/>
  <c r="I9" i="31"/>
  <c r="G9" i="31"/>
  <c r="U8" i="31"/>
  <c r="S8" i="31"/>
  <c r="Q8" i="31"/>
  <c r="O8" i="31"/>
  <c r="M8" i="31"/>
  <c r="K8" i="31"/>
  <c r="I8" i="31"/>
  <c r="G8" i="31"/>
  <c r="U7" i="31"/>
  <c r="S7" i="31"/>
  <c r="Q7" i="31"/>
  <c r="O7" i="31"/>
  <c r="M7" i="31"/>
  <c r="K7" i="31"/>
  <c r="I7" i="31"/>
  <c r="G7" i="31"/>
  <c r="E6" i="31"/>
  <c r="D6" i="31"/>
  <c r="C6" i="31"/>
  <c r="J6" i="31" s="1"/>
  <c r="K6" i="31" s="1"/>
  <c r="T5" i="31"/>
  <c r="R5" i="31"/>
  <c r="P5" i="31"/>
  <c r="N5" i="31"/>
  <c r="L5" i="31"/>
  <c r="J5" i="31"/>
  <c r="H5" i="31"/>
  <c r="F5" i="31"/>
  <c r="U103" i="32"/>
  <c r="S103" i="32"/>
  <c r="Q103" i="32"/>
  <c r="O103" i="32"/>
  <c r="M103" i="32"/>
  <c r="K103" i="32"/>
  <c r="I103" i="32"/>
  <c r="G103" i="32"/>
  <c r="U102" i="32"/>
  <c r="S102" i="32"/>
  <c r="Q102" i="32"/>
  <c r="O102" i="32"/>
  <c r="M102" i="32"/>
  <c r="K102" i="32"/>
  <c r="I102" i="32"/>
  <c r="G102" i="32"/>
  <c r="U101" i="32"/>
  <c r="S101" i="32"/>
  <c r="Q101" i="32"/>
  <c r="O101" i="32"/>
  <c r="M101" i="32"/>
  <c r="K101" i="32"/>
  <c r="I101" i="32"/>
  <c r="G101" i="32"/>
  <c r="U100" i="32"/>
  <c r="S100" i="32"/>
  <c r="Q100" i="32"/>
  <c r="O100" i="32"/>
  <c r="M100" i="32"/>
  <c r="K100" i="32"/>
  <c r="I100" i="32"/>
  <c r="G100" i="32"/>
  <c r="U99" i="32"/>
  <c r="S99" i="32"/>
  <c r="Q99" i="32"/>
  <c r="O99" i="32"/>
  <c r="M99" i="32"/>
  <c r="K99" i="32"/>
  <c r="I99" i="32"/>
  <c r="G99" i="32"/>
  <c r="U98" i="32"/>
  <c r="S98" i="32"/>
  <c r="Q98" i="32"/>
  <c r="O98" i="32"/>
  <c r="M98" i="32"/>
  <c r="K98" i="32"/>
  <c r="I98" i="32"/>
  <c r="G98" i="32"/>
  <c r="U97" i="32"/>
  <c r="S97" i="32"/>
  <c r="Q97" i="32"/>
  <c r="O97" i="32"/>
  <c r="M97" i="32"/>
  <c r="K97" i="32"/>
  <c r="I97" i="32"/>
  <c r="G97" i="32"/>
  <c r="U96" i="32"/>
  <c r="S96" i="32"/>
  <c r="Q96" i="32"/>
  <c r="O96" i="32"/>
  <c r="M96" i="32"/>
  <c r="K96" i="32"/>
  <c r="I96" i="32"/>
  <c r="G96" i="32"/>
  <c r="U95" i="32"/>
  <c r="S95" i="32"/>
  <c r="Q95" i="32"/>
  <c r="O95" i="32"/>
  <c r="M95" i="32"/>
  <c r="K95" i="32"/>
  <c r="I95" i="32"/>
  <c r="G95" i="32"/>
  <c r="U94" i="32"/>
  <c r="S94" i="32"/>
  <c r="Q94" i="32"/>
  <c r="O94" i="32"/>
  <c r="M94" i="32"/>
  <c r="K94" i="32"/>
  <c r="I94" i="32"/>
  <c r="G94" i="32"/>
  <c r="U93" i="32"/>
  <c r="S93" i="32"/>
  <c r="Q93" i="32"/>
  <c r="O93" i="32"/>
  <c r="M93" i="32"/>
  <c r="K93" i="32"/>
  <c r="I93" i="32"/>
  <c r="G93" i="32"/>
  <c r="U92" i="32"/>
  <c r="S92" i="32"/>
  <c r="Q92" i="32"/>
  <c r="O92" i="32"/>
  <c r="M92" i="32"/>
  <c r="K92" i="32"/>
  <c r="I92" i="32"/>
  <c r="G92" i="32"/>
  <c r="U91" i="32"/>
  <c r="S91" i="32"/>
  <c r="Q91" i="32"/>
  <c r="O91" i="32"/>
  <c r="M91" i="32"/>
  <c r="K91" i="32"/>
  <c r="I91" i="32"/>
  <c r="G91" i="32"/>
  <c r="U90" i="32"/>
  <c r="S90" i="32"/>
  <c r="Q90" i="32"/>
  <c r="O90" i="32"/>
  <c r="M90" i="32"/>
  <c r="K90" i="32"/>
  <c r="I90" i="32"/>
  <c r="G90" i="32"/>
  <c r="U89" i="32"/>
  <c r="S89" i="32"/>
  <c r="Q89" i="32"/>
  <c r="O89" i="32"/>
  <c r="M89" i="32"/>
  <c r="K89" i="32"/>
  <c r="I89" i="32"/>
  <c r="G89" i="32"/>
  <c r="U88" i="32"/>
  <c r="S88" i="32"/>
  <c r="Q88" i="32"/>
  <c r="O88" i="32"/>
  <c r="M88" i="32"/>
  <c r="K88" i="32"/>
  <c r="I88" i="32"/>
  <c r="G88" i="32"/>
  <c r="U87" i="32"/>
  <c r="S87" i="32"/>
  <c r="Q87" i="32"/>
  <c r="O87" i="32"/>
  <c r="M87" i="32"/>
  <c r="K87" i="32"/>
  <c r="I87" i="32"/>
  <c r="G87" i="32"/>
  <c r="U86" i="32"/>
  <c r="S86" i="32"/>
  <c r="Q86" i="32"/>
  <c r="O86" i="32"/>
  <c r="M86" i="32"/>
  <c r="K86" i="32"/>
  <c r="I86" i="32"/>
  <c r="G86" i="32"/>
  <c r="U85" i="32"/>
  <c r="S85" i="32"/>
  <c r="Q85" i="32"/>
  <c r="O85" i="32"/>
  <c r="M85" i="32"/>
  <c r="K85" i="32"/>
  <c r="I85" i="32"/>
  <c r="G85" i="32"/>
  <c r="U84" i="32"/>
  <c r="S84" i="32"/>
  <c r="Q84" i="32"/>
  <c r="O84" i="32"/>
  <c r="M84" i="32"/>
  <c r="K84" i="32"/>
  <c r="I84" i="32"/>
  <c r="G84" i="32"/>
  <c r="U83" i="32"/>
  <c r="S83" i="32"/>
  <c r="Q83" i="32"/>
  <c r="O83" i="32"/>
  <c r="M83" i="32"/>
  <c r="K83" i="32"/>
  <c r="I83" i="32"/>
  <c r="G83" i="32"/>
  <c r="U82" i="32"/>
  <c r="S82" i="32"/>
  <c r="Q82" i="32"/>
  <c r="O82" i="32"/>
  <c r="M82" i="32"/>
  <c r="K82" i="32"/>
  <c r="I82" i="32"/>
  <c r="G82" i="32"/>
  <c r="U81" i="32"/>
  <c r="S81" i="32"/>
  <c r="Q81" i="32"/>
  <c r="O81" i="32"/>
  <c r="M81" i="32"/>
  <c r="K81" i="32"/>
  <c r="I81" i="32"/>
  <c r="G81" i="32"/>
  <c r="U80" i="32"/>
  <c r="S80" i="32"/>
  <c r="Q80" i="32"/>
  <c r="O80" i="32"/>
  <c r="M80" i="32"/>
  <c r="K80" i="32"/>
  <c r="I80" i="32"/>
  <c r="G80" i="32"/>
  <c r="U79" i="32"/>
  <c r="S79" i="32"/>
  <c r="Q79" i="32"/>
  <c r="O79" i="32"/>
  <c r="M79" i="32"/>
  <c r="K79" i="32"/>
  <c r="I79" i="32"/>
  <c r="G79" i="32"/>
  <c r="U78" i="32"/>
  <c r="S78" i="32"/>
  <c r="Q78" i="32"/>
  <c r="O78" i="32"/>
  <c r="M78" i="32"/>
  <c r="K78" i="32"/>
  <c r="I78" i="32"/>
  <c r="G78" i="32"/>
  <c r="U77" i="32"/>
  <c r="S77" i="32"/>
  <c r="Q77" i="32"/>
  <c r="O77" i="32"/>
  <c r="M77" i="32"/>
  <c r="K77" i="32"/>
  <c r="I77" i="32"/>
  <c r="G77" i="32"/>
  <c r="U76" i="32"/>
  <c r="S76" i="32"/>
  <c r="Q76" i="32"/>
  <c r="O76" i="32"/>
  <c r="M76" i="32"/>
  <c r="K76" i="32"/>
  <c r="I76" i="32"/>
  <c r="G76" i="32"/>
  <c r="U75" i="32"/>
  <c r="S75" i="32"/>
  <c r="Q75" i="32"/>
  <c r="O75" i="32"/>
  <c r="M75" i="32"/>
  <c r="K75" i="32"/>
  <c r="I75" i="32"/>
  <c r="G75" i="32"/>
  <c r="U74" i="32"/>
  <c r="S74" i="32"/>
  <c r="Q74" i="32"/>
  <c r="O74" i="32"/>
  <c r="M74" i="32"/>
  <c r="K74" i="32"/>
  <c r="I74" i="32"/>
  <c r="G74" i="32"/>
  <c r="U73" i="32"/>
  <c r="S73" i="32"/>
  <c r="Q73" i="32"/>
  <c r="O73" i="32"/>
  <c r="M73" i="32"/>
  <c r="K73" i="32"/>
  <c r="I73" i="32"/>
  <c r="G73" i="32"/>
  <c r="U72" i="32"/>
  <c r="S72" i="32"/>
  <c r="Q72" i="32"/>
  <c r="O72" i="32"/>
  <c r="M72" i="32"/>
  <c r="K72" i="32"/>
  <c r="I72" i="32"/>
  <c r="G72" i="32"/>
  <c r="U71" i="32"/>
  <c r="S71" i="32"/>
  <c r="Q71" i="32"/>
  <c r="O71" i="32"/>
  <c r="M71" i="32"/>
  <c r="K71" i="32"/>
  <c r="I71" i="32"/>
  <c r="G71" i="32"/>
  <c r="U70" i="32"/>
  <c r="S70" i="32"/>
  <c r="Q70" i="32"/>
  <c r="O70" i="32"/>
  <c r="M70" i="32"/>
  <c r="K70" i="32"/>
  <c r="I70" i="32"/>
  <c r="G70" i="32"/>
  <c r="U69" i="32"/>
  <c r="S69" i="32"/>
  <c r="Q69" i="32"/>
  <c r="O69" i="32"/>
  <c r="M69" i="32"/>
  <c r="K69" i="32"/>
  <c r="I69" i="32"/>
  <c r="G69" i="32"/>
  <c r="U68" i="32"/>
  <c r="S68" i="32"/>
  <c r="Q68" i="32"/>
  <c r="O68" i="32"/>
  <c r="M68" i="32"/>
  <c r="K68" i="32"/>
  <c r="I68" i="32"/>
  <c r="G68" i="32"/>
  <c r="U67" i="32"/>
  <c r="S67" i="32"/>
  <c r="Q67" i="32"/>
  <c r="O67" i="32"/>
  <c r="M67" i="32"/>
  <c r="K67" i="32"/>
  <c r="I67" i="32"/>
  <c r="G67" i="32"/>
  <c r="U66" i="32"/>
  <c r="S66" i="32"/>
  <c r="Q66" i="32"/>
  <c r="O66" i="32"/>
  <c r="M66" i="32"/>
  <c r="K66" i="32"/>
  <c r="I66" i="32"/>
  <c r="G66" i="32"/>
  <c r="U65" i="32"/>
  <c r="S65" i="32"/>
  <c r="Q65" i="32"/>
  <c r="O65" i="32"/>
  <c r="M65" i="32"/>
  <c r="K65" i="32"/>
  <c r="I65" i="32"/>
  <c r="G65" i="32"/>
  <c r="U64" i="32"/>
  <c r="S64" i="32"/>
  <c r="Q64" i="32"/>
  <c r="O64" i="32"/>
  <c r="M64" i="32"/>
  <c r="K64" i="32"/>
  <c r="I64" i="32"/>
  <c r="G64" i="32"/>
  <c r="U63" i="32"/>
  <c r="S63" i="32"/>
  <c r="Q63" i="32"/>
  <c r="O63" i="32"/>
  <c r="M63" i="32"/>
  <c r="K63" i="32"/>
  <c r="I63" i="32"/>
  <c r="G63" i="32"/>
  <c r="U62" i="32"/>
  <c r="S62" i="32"/>
  <c r="Q62" i="32"/>
  <c r="O62" i="32"/>
  <c r="M62" i="32"/>
  <c r="K62" i="32"/>
  <c r="I62" i="32"/>
  <c r="G62" i="32"/>
  <c r="U61" i="32"/>
  <c r="S61" i="32"/>
  <c r="Q61" i="32"/>
  <c r="O61" i="32"/>
  <c r="M61" i="32"/>
  <c r="K61" i="32"/>
  <c r="I61" i="32"/>
  <c r="G61" i="32"/>
  <c r="U60" i="32"/>
  <c r="S60" i="32"/>
  <c r="Q60" i="32"/>
  <c r="O60" i="32"/>
  <c r="M60" i="32"/>
  <c r="K60" i="32"/>
  <c r="I60" i="32"/>
  <c r="G60" i="32"/>
  <c r="U59" i="32"/>
  <c r="S59" i="32"/>
  <c r="Q59" i="32"/>
  <c r="O59" i="32"/>
  <c r="M59" i="32"/>
  <c r="K59" i="32"/>
  <c r="I59" i="32"/>
  <c r="G59" i="32"/>
  <c r="U58" i="32"/>
  <c r="S58" i="32"/>
  <c r="Q58" i="32"/>
  <c r="O58" i="32"/>
  <c r="M58" i="32"/>
  <c r="K58" i="32"/>
  <c r="I58" i="32"/>
  <c r="G58" i="32"/>
  <c r="U57" i="32"/>
  <c r="S57" i="32"/>
  <c r="Q57" i="32"/>
  <c r="O57" i="32"/>
  <c r="M57" i="32"/>
  <c r="K57" i="32"/>
  <c r="I57" i="32"/>
  <c r="G57" i="32"/>
  <c r="U56" i="32"/>
  <c r="S56" i="32"/>
  <c r="Q56" i="32"/>
  <c r="O56" i="32"/>
  <c r="M56" i="32"/>
  <c r="K56" i="32"/>
  <c r="I56" i="32"/>
  <c r="G56" i="32"/>
  <c r="U55" i="32"/>
  <c r="S55" i="32"/>
  <c r="Q55" i="32"/>
  <c r="O55" i="32"/>
  <c r="M55" i="32"/>
  <c r="K55" i="32"/>
  <c r="I55" i="32"/>
  <c r="G55" i="32"/>
  <c r="U54" i="32"/>
  <c r="S54" i="32"/>
  <c r="Q54" i="32"/>
  <c r="O54" i="32"/>
  <c r="M54" i="32"/>
  <c r="K54" i="32"/>
  <c r="I54" i="32"/>
  <c r="G54" i="32"/>
  <c r="U53" i="32"/>
  <c r="S53" i="32"/>
  <c r="Q53" i="32"/>
  <c r="O53" i="32"/>
  <c r="M53" i="32"/>
  <c r="K53" i="32"/>
  <c r="I53" i="32"/>
  <c r="G53" i="32"/>
  <c r="U52" i="32"/>
  <c r="S52" i="32"/>
  <c r="Q52" i="32"/>
  <c r="O52" i="32"/>
  <c r="M52" i="32"/>
  <c r="K52" i="32"/>
  <c r="I52" i="32"/>
  <c r="G52" i="32"/>
  <c r="U51" i="32"/>
  <c r="S51" i="32"/>
  <c r="Q51" i="32"/>
  <c r="O51" i="32"/>
  <c r="M51" i="32"/>
  <c r="K51" i="32"/>
  <c r="I51" i="32"/>
  <c r="G51" i="32"/>
  <c r="U50" i="32"/>
  <c r="S50" i="32"/>
  <c r="Q50" i="32"/>
  <c r="O50" i="32"/>
  <c r="M50" i="32"/>
  <c r="K50" i="32"/>
  <c r="I50" i="32"/>
  <c r="G50" i="32"/>
  <c r="U49" i="32"/>
  <c r="S49" i="32"/>
  <c r="Q49" i="32"/>
  <c r="O49" i="32"/>
  <c r="M49" i="32"/>
  <c r="K49" i="32"/>
  <c r="I49" i="32"/>
  <c r="G49" i="32"/>
  <c r="U48" i="32"/>
  <c r="S48" i="32"/>
  <c r="Q48" i="32"/>
  <c r="O48" i="32"/>
  <c r="M48" i="32"/>
  <c r="K48" i="32"/>
  <c r="I48" i="32"/>
  <c r="G48" i="32"/>
  <c r="U47" i="32"/>
  <c r="S47" i="32"/>
  <c r="Q47" i="32"/>
  <c r="O47" i="32"/>
  <c r="M47" i="32"/>
  <c r="K47" i="32"/>
  <c r="I47" i="32"/>
  <c r="G47" i="32"/>
  <c r="U46" i="32"/>
  <c r="S46" i="32"/>
  <c r="Q46" i="32"/>
  <c r="O46" i="32"/>
  <c r="M46" i="32"/>
  <c r="K46" i="32"/>
  <c r="I46" i="32"/>
  <c r="G46" i="32"/>
  <c r="U45" i="32"/>
  <c r="S45" i="32"/>
  <c r="Q45" i="32"/>
  <c r="O45" i="32"/>
  <c r="M45" i="32"/>
  <c r="K45" i="32"/>
  <c r="I45" i="32"/>
  <c r="G45" i="32"/>
  <c r="U44" i="32"/>
  <c r="S44" i="32"/>
  <c r="Q44" i="32"/>
  <c r="O44" i="32"/>
  <c r="M44" i="32"/>
  <c r="K44" i="32"/>
  <c r="I44" i="32"/>
  <c r="G44" i="32"/>
  <c r="U43" i="32"/>
  <c r="S43" i="32"/>
  <c r="Q43" i="32"/>
  <c r="O43" i="32"/>
  <c r="M43" i="32"/>
  <c r="K43" i="32"/>
  <c r="I43" i="32"/>
  <c r="G43" i="32"/>
  <c r="U42" i="32"/>
  <c r="S42" i="32"/>
  <c r="Q42" i="32"/>
  <c r="O42" i="32"/>
  <c r="M42" i="32"/>
  <c r="K42" i="32"/>
  <c r="I42" i="32"/>
  <c r="G42" i="32"/>
  <c r="U41" i="32"/>
  <c r="S41" i="32"/>
  <c r="Q41" i="32"/>
  <c r="O41" i="32"/>
  <c r="M41" i="32"/>
  <c r="K41" i="32"/>
  <c r="I41" i="32"/>
  <c r="G41" i="32"/>
  <c r="U40" i="32"/>
  <c r="S40" i="32"/>
  <c r="Q40" i="32"/>
  <c r="O40" i="32"/>
  <c r="M40" i="32"/>
  <c r="K40" i="32"/>
  <c r="I40" i="32"/>
  <c r="G40" i="32"/>
  <c r="U39" i="32"/>
  <c r="S39" i="32"/>
  <c r="Q39" i="32"/>
  <c r="O39" i="32"/>
  <c r="M39" i="32"/>
  <c r="K39" i="32"/>
  <c r="I39" i="32"/>
  <c r="G39" i="32"/>
  <c r="U38" i="32"/>
  <c r="S38" i="32"/>
  <c r="Q38" i="32"/>
  <c r="O38" i="32"/>
  <c r="M38" i="32"/>
  <c r="K38" i="32"/>
  <c r="I38" i="32"/>
  <c r="G38" i="32"/>
  <c r="U37" i="32"/>
  <c r="S37" i="32"/>
  <c r="Q37" i="32"/>
  <c r="O37" i="32"/>
  <c r="M37" i="32"/>
  <c r="K37" i="32"/>
  <c r="I37" i="32"/>
  <c r="G37" i="32"/>
  <c r="U36" i="32"/>
  <c r="S36" i="32"/>
  <c r="Q36" i="32"/>
  <c r="O36" i="32"/>
  <c r="M36" i="32"/>
  <c r="K36" i="32"/>
  <c r="I36" i="32"/>
  <c r="G36" i="32"/>
  <c r="U35" i="32"/>
  <c r="S35" i="32"/>
  <c r="Q35" i="32"/>
  <c r="O35" i="32"/>
  <c r="M35" i="32"/>
  <c r="K35" i="32"/>
  <c r="I35" i="32"/>
  <c r="G35" i="32"/>
  <c r="U34" i="32"/>
  <c r="S34" i="32"/>
  <c r="Q34" i="32"/>
  <c r="O34" i="32"/>
  <c r="M34" i="32"/>
  <c r="K34" i="32"/>
  <c r="I34" i="32"/>
  <c r="G34" i="32"/>
  <c r="U33" i="32"/>
  <c r="S33" i="32"/>
  <c r="Q33" i="32"/>
  <c r="O33" i="32"/>
  <c r="M33" i="32"/>
  <c r="K33" i="32"/>
  <c r="I33" i="32"/>
  <c r="G33" i="32"/>
  <c r="U32" i="32"/>
  <c r="S32" i="32"/>
  <c r="Q32" i="32"/>
  <c r="O32" i="32"/>
  <c r="M32" i="32"/>
  <c r="K32" i="32"/>
  <c r="I32" i="32"/>
  <c r="G32" i="32"/>
  <c r="U31" i="32"/>
  <c r="S31" i="32"/>
  <c r="Q31" i="32"/>
  <c r="O31" i="32"/>
  <c r="M31" i="32"/>
  <c r="K31" i="32"/>
  <c r="I31" i="32"/>
  <c r="G31" i="32"/>
  <c r="U30" i="32"/>
  <c r="S30" i="32"/>
  <c r="Q30" i="32"/>
  <c r="O30" i="32"/>
  <c r="M30" i="32"/>
  <c r="K30" i="32"/>
  <c r="I30" i="32"/>
  <c r="G30" i="32"/>
  <c r="U29" i="32"/>
  <c r="S29" i="32"/>
  <c r="Q29" i="32"/>
  <c r="O29" i="32"/>
  <c r="M29" i="32"/>
  <c r="K29" i="32"/>
  <c r="I29" i="32"/>
  <c r="G29" i="32"/>
  <c r="U28" i="32"/>
  <c r="S28" i="32"/>
  <c r="Q28" i="32"/>
  <c r="O28" i="32"/>
  <c r="M28" i="32"/>
  <c r="K28" i="32"/>
  <c r="I28" i="32"/>
  <c r="G28" i="32"/>
  <c r="U27" i="32"/>
  <c r="S27" i="32"/>
  <c r="Q27" i="32"/>
  <c r="O27" i="32"/>
  <c r="M27" i="32"/>
  <c r="K27" i="32"/>
  <c r="I27" i="32"/>
  <c r="G27" i="32"/>
  <c r="U26" i="32"/>
  <c r="S26" i="32"/>
  <c r="Q26" i="32"/>
  <c r="O26" i="32"/>
  <c r="M26" i="32"/>
  <c r="K26" i="32"/>
  <c r="I26" i="32"/>
  <c r="G26" i="32"/>
  <c r="U25" i="32"/>
  <c r="S25" i="32"/>
  <c r="Q25" i="32"/>
  <c r="O25" i="32"/>
  <c r="M25" i="32"/>
  <c r="K25" i="32"/>
  <c r="I25" i="32"/>
  <c r="G25" i="32"/>
  <c r="U24" i="32"/>
  <c r="S24" i="32"/>
  <c r="Q24" i="32"/>
  <c r="O24" i="32"/>
  <c r="M24" i="32"/>
  <c r="K24" i="32"/>
  <c r="I24" i="32"/>
  <c r="G24" i="32"/>
  <c r="U23" i="32"/>
  <c r="S23" i="32"/>
  <c r="Q23" i="32"/>
  <c r="O23" i="32"/>
  <c r="M23" i="32"/>
  <c r="K23" i="32"/>
  <c r="I23" i="32"/>
  <c r="G23" i="32"/>
  <c r="U22" i="32"/>
  <c r="S22" i="32"/>
  <c r="Q22" i="32"/>
  <c r="O22" i="32"/>
  <c r="M22" i="32"/>
  <c r="K22" i="32"/>
  <c r="I22" i="32"/>
  <c r="G22" i="32"/>
  <c r="U21" i="32"/>
  <c r="S21" i="32"/>
  <c r="Q21" i="32"/>
  <c r="O21" i="32"/>
  <c r="M21" i="32"/>
  <c r="K21" i="32"/>
  <c r="I21" i="32"/>
  <c r="G21" i="32"/>
  <c r="U20" i="32"/>
  <c r="S20" i="32"/>
  <c r="Q20" i="32"/>
  <c r="O20" i="32"/>
  <c r="M20" i="32"/>
  <c r="K20" i="32"/>
  <c r="I20" i="32"/>
  <c r="G20" i="32"/>
  <c r="U19" i="32"/>
  <c r="S19" i="32"/>
  <c r="Q19" i="32"/>
  <c r="O19" i="32"/>
  <c r="M19" i="32"/>
  <c r="K19" i="32"/>
  <c r="I19" i="32"/>
  <c r="G19" i="32"/>
  <c r="U18" i="32"/>
  <c r="S18" i="32"/>
  <c r="Q18" i="32"/>
  <c r="O18" i="32"/>
  <c r="M18" i="32"/>
  <c r="K18" i="32"/>
  <c r="I18" i="32"/>
  <c r="G18" i="32"/>
  <c r="U17" i="32"/>
  <c r="S17" i="32"/>
  <c r="Q17" i="32"/>
  <c r="O17" i="32"/>
  <c r="M17" i="32"/>
  <c r="K17" i="32"/>
  <c r="I17" i="32"/>
  <c r="G17" i="32"/>
  <c r="U16" i="32"/>
  <c r="S16" i="32"/>
  <c r="Q16" i="32"/>
  <c r="O16" i="32"/>
  <c r="M16" i="32"/>
  <c r="K16" i="32"/>
  <c r="I16" i="32"/>
  <c r="G16" i="32"/>
  <c r="U15" i="32"/>
  <c r="S15" i="32"/>
  <c r="Q15" i="32"/>
  <c r="O15" i="32"/>
  <c r="M15" i="32"/>
  <c r="K15" i="32"/>
  <c r="I15" i="32"/>
  <c r="G15" i="32"/>
  <c r="U14" i="32"/>
  <c r="S14" i="32"/>
  <c r="Q14" i="32"/>
  <c r="O14" i="32"/>
  <c r="M14" i="32"/>
  <c r="K14" i="32"/>
  <c r="I14" i="32"/>
  <c r="G14" i="32"/>
  <c r="U13" i="32"/>
  <c r="S13" i="32"/>
  <c r="Q13" i="32"/>
  <c r="O13" i="32"/>
  <c r="M13" i="32"/>
  <c r="K13" i="32"/>
  <c r="I13" i="32"/>
  <c r="G13" i="32"/>
  <c r="U12" i="32"/>
  <c r="S12" i="32"/>
  <c r="Q12" i="32"/>
  <c r="O12" i="32"/>
  <c r="M12" i="32"/>
  <c r="K12" i="32"/>
  <c r="I12" i="32"/>
  <c r="G12" i="32"/>
  <c r="U11" i="32"/>
  <c r="S11" i="32"/>
  <c r="Q11" i="32"/>
  <c r="O11" i="32"/>
  <c r="M11" i="32"/>
  <c r="K11" i="32"/>
  <c r="I11" i="32"/>
  <c r="G11" i="32"/>
  <c r="U10" i="32"/>
  <c r="S10" i="32"/>
  <c r="Q10" i="32"/>
  <c r="O10" i="32"/>
  <c r="M10" i="32"/>
  <c r="K10" i="32"/>
  <c r="I10" i="32"/>
  <c r="G10" i="32"/>
  <c r="U9" i="32"/>
  <c r="S9" i="32"/>
  <c r="Q9" i="32"/>
  <c r="O9" i="32"/>
  <c r="M9" i="32"/>
  <c r="K9" i="32"/>
  <c r="I9" i="32"/>
  <c r="G9" i="32"/>
  <c r="U8" i="32"/>
  <c r="S8" i="32"/>
  <c r="Q8" i="32"/>
  <c r="O8" i="32"/>
  <c r="M8" i="32"/>
  <c r="K8" i="32"/>
  <c r="I8" i="32"/>
  <c r="G8" i="32"/>
  <c r="U7" i="32"/>
  <c r="S7" i="32"/>
  <c r="Q7" i="32"/>
  <c r="O7" i="32"/>
  <c r="M7" i="32"/>
  <c r="K7" i="32"/>
  <c r="I7" i="32"/>
  <c r="G7" i="32"/>
  <c r="E6" i="32"/>
  <c r="D6" i="32"/>
  <c r="C6" i="32"/>
  <c r="L6" i="32" s="1"/>
  <c r="M6" i="32" s="1"/>
  <c r="T5" i="32"/>
  <c r="R5" i="32"/>
  <c r="P5" i="32"/>
  <c r="N5" i="32"/>
  <c r="L5" i="32"/>
  <c r="J5" i="32"/>
  <c r="H5" i="32"/>
  <c r="F5" i="32"/>
  <c r="W103" i="28"/>
  <c r="AC103" i="28" s="1"/>
  <c r="U103" i="28"/>
  <c r="S103" i="28"/>
  <c r="Q103" i="28"/>
  <c r="O103" i="28"/>
  <c r="M103" i="28"/>
  <c r="I103" i="28"/>
  <c r="AB103" i="28" s="1"/>
  <c r="G103" i="28"/>
  <c r="W102" i="28"/>
  <c r="AC102" i="28" s="1"/>
  <c r="U102" i="28"/>
  <c r="S102" i="28"/>
  <c r="Q102" i="28"/>
  <c r="O102" i="28"/>
  <c r="M102" i="28"/>
  <c r="I102" i="28"/>
  <c r="AB102" i="28" s="1"/>
  <c r="G102" i="28"/>
  <c r="W101" i="28"/>
  <c r="AC101" i="28" s="1"/>
  <c r="U101" i="28"/>
  <c r="S101" i="28"/>
  <c r="Q101" i="28"/>
  <c r="O101" i="28"/>
  <c r="M101" i="28"/>
  <c r="I101" i="28"/>
  <c r="AB101" i="28" s="1"/>
  <c r="G101" i="28"/>
  <c r="W100" i="28"/>
  <c r="AC100" i="28" s="1"/>
  <c r="U100" i="28"/>
  <c r="S100" i="28"/>
  <c r="Q100" i="28"/>
  <c r="O100" i="28"/>
  <c r="M100" i="28"/>
  <c r="I100" i="28"/>
  <c r="AB100" i="28" s="1"/>
  <c r="G100" i="28"/>
  <c r="W99" i="28"/>
  <c r="AC99" i="28" s="1"/>
  <c r="U99" i="28"/>
  <c r="S99" i="28"/>
  <c r="Q99" i="28"/>
  <c r="O99" i="28"/>
  <c r="M99" i="28"/>
  <c r="I99" i="28"/>
  <c r="AB99" i="28" s="1"/>
  <c r="G99" i="28"/>
  <c r="W98" i="28"/>
  <c r="AC98" i="28" s="1"/>
  <c r="U98" i="28"/>
  <c r="S98" i="28"/>
  <c r="Q98" i="28"/>
  <c r="O98" i="28"/>
  <c r="M98" i="28"/>
  <c r="I98" i="28"/>
  <c r="AB98" i="28" s="1"/>
  <c r="G98" i="28"/>
  <c r="W97" i="28"/>
  <c r="AC97" i="28" s="1"/>
  <c r="U97" i="28"/>
  <c r="S97" i="28"/>
  <c r="Q97" i="28"/>
  <c r="O97" i="28"/>
  <c r="M97" i="28"/>
  <c r="I97" i="28"/>
  <c r="AB97" i="28" s="1"/>
  <c r="G97" i="28"/>
  <c r="W96" i="28"/>
  <c r="AC96" i="28" s="1"/>
  <c r="U96" i="28"/>
  <c r="S96" i="28"/>
  <c r="Q96" i="28"/>
  <c r="O96" i="28"/>
  <c r="M96" i="28"/>
  <c r="I96" i="28"/>
  <c r="AB96" i="28" s="1"/>
  <c r="G96" i="28"/>
  <c r="W95" i="28"/>
  <c r="AC95" i="28" s="1"/>
  <c r="U95" i="28"/>
  <c r="S95" i="28"/>
  <c r="Q95" i="28"/>
  <c r="O95" i="28"/>
  <c r="M95" i="28"/>
  <c r="I95" i="28"/>
  <c r="AB95" i="28" s="1"/>
  <c r="G95" i="28"/>
  <c r="W94" i="28"/>
  <c r="AC94" i="28" s="1"/>
  <c r="U94" i="28"/>
  <c r="S94" i="28"/>
  <c r="Q94" i="28"/>
  <c r="O94" i="28"/>
  <c r="M94" i="28"/>
  <c r="I94" i="28"/>
  <c r="AB94" i="28" s="1"/>
  <c r="G94" i="28"/>
  <c r="W93" i="28"/>
  <c r="AC93" i="28" s="1"/>
  <c r="U93" i="28"/>
  <c r="S93" i="28"/>
  <c r="Q93" i="28"/>
  <c r="O93" i="28"/>
  <c r="M93" i="28"/>
  <c r="I93" i="28"/>
  <c r="AB93" i="28" s="1"/>
  <c r="G93" i="28"/>
  <c r="W92" i="28"/>
  <c r="AC92" i="28" s="1"/>
  <c r="U92" i="28"/>
  <c r="S92" i="28"/>
  <c r="Q92" i="28"/>
  <c r="O92" i="28"/>
  <c r="M92" i="28"/>
  <c r="I92" i="28"/>
  <c r="AB92" i="28" s="1"/>
  <c r="G92" i="28"/>
  <c r="W91" i="28"/>
  <c r="AC91" i="28" s="1"/>
  <c r="U91" i="28"/>
  <c r="S91" i="28"/>
  <c r="Q91" i="28"/>
  <c r="O91" i="28"/>
  <c r="M91" i="28"/>
  <c r="I91" i="28"/>
  <c r="AB91" i="28" s="1"/>
  <c r="G91" i="28"/>
  <c r="W90" i="28"/>
  <c r="AC90" i="28" s="1"/>
  <c r="U90" i="28"/>
  <c r="S90" i="28"/>
  <c r="Q90" i="28"/>
  <c r="O90" i="28"/>
  <c r="M90" i="28"/>
  <c r="I90" i="28"/>
  <c r="AB90" i="28" s="1"/>
  <c r="G90" i="28"/>
  <c r="W89" i="28"/>
  <c r="AC89" i="28" s="1"/>
  <c r="U89" i="28"/>
  <c r="S89" i="28"/>
  <c r="Q89" i="28"/>
  <c r="O89" i="28"/>
  <c r="M89" i="28"/>
  <c r="I89" i="28"/>
  <c r="AB89" i="28" s="1"/>
  <c r="G89" i="28"/>
  <c r="W88" i="28"/>
  <c r="AC88" i="28" s="1"/>
  <c r="U88" i="28"/>
  <c r="S88" i="28"/>
  <c r="Q88" i="28"/>
  <c r="O88" i="28"/>
  <c r="M88" i="28"/>
  <c r="I88" i="28"/>
  <c r="AB88" i="28" s="1"/>
  <c r="G88" i="28"/>
  <c r="W87" i="28"/>
  <c r="AC87" i="28" s="1"/>
  <c r="U87" i="28"/>
  <c r="S87" i="28"/>
  <c r="Q87" i="28"/>
  <c r="O87" i="28"/>
  <c r="M87" i="28"/>
  <c r="I87" i="28"/>
  <c r="AB87" i="28" s="1"/>
  <c r="G87" i="28"/>
  <c r="W86" i="28"/>
  <c r="AC86" i="28" s="1"/>
  <c r="U86" i="28"/>
  <c r="S86" i="28"/>
  <c r="Q86" i="28"/>
  <c r="O86" i="28"/>
  <c r="M86" i="28"/>
  <c r="I86" i="28"/>
  <c r="AB86" i="28" s="1"/>
  <c r="G86" i="28"/>
  <c r="W85" i="28"/>
  <c r="AC85" i="28" s="1"/>
  <c r="U85" i="28"/>
  <c r="S85" i="28"/>
  <c r="Q85" i="28"/>
  <c r="O85" i="28"/>
  <c r="M85" i="28"/>
  <c r="I85" i="28"/>
  <c r="AB85" i="28" s="1"/>
  <c r="G85" i="28"/>
  <c r="W84" i="28"/>
  <c r="AC84" i="28" s="1"/>
  <c r="U84" i="28"/>
  <c r="S84" i="28"/>
  <c r="Q84" i="28"/>
  <c r="O84" i="28"/>
  <c r="M84" i="28"/>
  <c r="I84" i="28"/>
  <c r="AB84" i="28" s="1"/>
  <c r="G84" i="28"/>
  <c r="W83" i="28"/>
  <c r="AC83" i="28" s="1"/>
  <c r="U83" i="28"/>
  <c r="S83" i="28"/>
  <c r="Q83" i="28"/>
  <c r="O83" i="28"/>
  <c r="M83" i="28"/>
  <c r="I83" i="28"/>
  <c r="AB83" i="28" s="1"/>
  <c r="G83" i="28"/>
  <c r="W82" i="28"/>
  <c r="AC82" i="28" s="1"/>
  <c r="U82" i="28"/>
  <c r="S82" i="28"/>
  <c r="Q82" i="28"/>
  <c r="O82" i="28"/>
  <c r="M82" i="28"/>
  <c r="I82" i="28"/>
  <c r="AB82" i="28" s="1"/>
  <c r="G82" i="28"/>
  <c r="W81" i="28"/>
  <c r="AC81" i="28" s="1"/>
  <c r="U81" i="28"/>
  <c r="S81" i="28"/>
  <c r="Q81" i="28"/>
  <c r="O81" i="28"/>
  <c r="M81" i="28"/>
  <c r="I81" i="28"/>
  <c r="AB81" i="28" s="1"/>
  <c r="G81" i="28"/>
  <c r="W80" i="28"/>
  <c r="AC80" i="28" s="1"/>
  <c r="U80" i="28"/>
  <c r="S80" i="28"/>
  <c r="Q80" i="28"/>
  <c r="O80" i="28"/>
  <c r="M80" i="28"/>
  <c r="I80" i="28"/>
  <c r="AB80" i="28" s="1"/>
  <c r="G80" i="28"/>
  <c r="W79" i="28"/>
  <c r="AC79" i="28" s="1"/>
  <c r="U79" i="28"/>
  <c r="S79" i="28"/>
  <c r="Q79" i="28"/>
  <c r="O79" i="28"/>
  <c r="M79" i="28"/>
  <c r="I79" i="28"/>
  <c r="AB79" i="28" s="1"/>
  <c r="G79" i="28"/>
  <c r="W78" i="28"/>
  <c r="AC78" i="28" s="1"/>
  <c r="U78" i="28"/>
  <c r="S78" i="28"/>
  <c r="Q78" i="28"/>
  <c r="O78" i="28"/>
  <c r="M78" i="28"/>
  <c r="I78" i="28"/>
  <c r="AB78" i="28" s="1"/>
  <c r="G78" i="28"/>
  <c r="W77" i="28"/>
  <c r="AC77" i="28" s="1"/>
  <c r="U77" i="28"/>
  <c r="S77" i="28"/>
  <c r="Q77" i="28"/>
  <c r="O77" i="28"/>
  <c r="M77" i="28"/>
  <c r="I77" i="28"/>
  <c r="AB77" i="28" s="1"/>
  <c r="G77" i="28"/>
  <c r="W76" i="28"/>
  <c r="AC76" i="28" s="1"/>
  <c r="U76" i="28"/>
  <c r="S76" i="28"/>
  <c r="Q76" i="28"/>
  <c r="O76" i="28"/>
  <c r="M76" i="28"/>
  <c r="I76" i="28"/>
  <c r="AB76" i="28" s="1"/>
  <c r="G76" i="28"/>
  <c r="W75" i="28"/>
  <c r="AC75" i="28" s="1"/>
  <c r="U75" i="28"/>
  <c r="S75" i="28"/>
  <c r="Q75" i="28"/>
  <c r="O75" i="28"/>
  <c r="M75" i="28"/>
  <c r="I75" i="28"/>
  <c r="AB75" i="28" s="1"/>
  <c r="G75" i="28"/>
  <c r="W74" i="28"/>
  <c r="AC74" i="28" s="1"/>
  <c r="U74" i="28"/>
  <c r="S74" i="28"/>
  <c r="Q74" i="28"/>
  <c r="O74" i="28"/>
  <c r="M74" i="28"/>
  <c r="I74" i="28"/>
  <c r="AB74" i="28" s="1"/>
  <c r="G74" i="28"/>
  <c r="W73" i="28"/>
  <c r="AC73" i="28" s="1"/>
  <c r="U73" i="28"/>
  <c r="S73" i="28"/>
  <c r="Q73" i="28"/>
  <c r="O73" i="28"/>
  <c r="M73" i="28"/>
  <c r="I73" i="28"/>
  <c r="AB73" i="28" s="1"/>
  <c r="G73" i="28"/>
  <c r="W72" i="28"/>
  <c r="AC72" i="28" s="1"/>
  <c r="U72" i="28"/>
  <c r="S72" i="28"/>
  <c r="Q72" i="28"/>
  <c r="O72" i="28"/>
  <c r="M72" i="28"/>
  <c r="I72" i="28"/>
  <c r="AB72" i="28" s="1"/>
  <c r="G72" i="28"/>
  <c r="W71" i="28"/>
  <c r="AC71" i="28" s="1"/>
  <c r="U71" i="28"/>
  <c r="S71" i="28"/>
  <c r="Q71" i="28"/>
  <c r="O71" i="28"/>
  <c r="M71" i="28"/>
  <c r="I71" i="28"/>
  <c r="AB71" i="28" s="1"/>
  <c r="G71" i="28"/>
  <c r="W70" i="28"/>
  <c r="AC70" i="28" s="1"/>
  <c r="U70" i="28"/>
  <c r="S70" i="28"/>
  <c r="Q70" i="28"/>
  <c r="O70" i="28"/>
  <c r="M70" i="28"/>
  <c r="I70" i="28"/>
  <c r="AB70" i="28" s="1"/>
  <c r="G70" i="28"/>
  <c r="W69" i="28"/>
  <c r="AC69" i="28" s="1"/>
  <c r="U69" i="28"/>
  <c r="S69" i="28"/>
  <c r="Q69" i="28"/>
  <c r="O69" i="28"/>
  <c r="M69" i="28"/>
  <c r="I69" i="28"/>
  <c r="AB69" i="28" s="1"/>
  <c r="G69" i="28"/>
  <c r="W68" i="28"/>
  <c r="AC68" i="28" s="1"/>
  <c r="U68" i="28"/>
  <c r="S68" i="28"/>
  <c r="Q68" i="28"/>
  <c r="O68" i="28"/>
  <c r="M68" i="28"/>
  <c r="I68" i="28"/>
  <c r="AB68" i="28" s="1"/>
  <c r="G68" i="28"/>
  <c r="W67" i="28"/>
  <c r="AC67" i="28" s="1"/>
  <c r="U67" i="28"/>
  <c r="S67" i="28"/>
  <c r="Q67" i="28"/>
  <c r="O67" i="28"/>
  <c r="M67" i="28"/>
  <c r="I67" i="28"/>
  <c r="AB67" i="28" s="1"/>
  <c r="G67" i="28"/>
  <c r="W66" i="28"/>
  <c r="AC66" i="28" s="1"/>
  <c r="U66" i="28"/>
  <c r="S66" i="28"/>
  <c r="Q66" i="28"/>
  <c r="O66" i="28"/>
  <c r="M66" i="28"/>
  <c r="I66" i="28"/>
  <c r="AB66" i="28" s="1"/>
  <c r="G66" i="28"/>
  <c r="W65" i="28"/>
  <c r="AC65" i="28" s="1"/>
  <c r="U65" i="28"/>
  <c r="S65" i="28"/>
  <c r="Q65" i="28"/>
  <c r="O65" i="28"/>
  <c r="M65" i="28"/>
  <c r="I65" i="28"/>
  <c r="AB65" i="28" s="1"/>
  <c r="G65" i="28"/>
  <c r="W64" i="28"/>
  <c r="AC64" i="28" s="1"/>
  <c r="U64" i="28"/>
  <c r="S64" i="28"/>
  <c r="Q64" i="28"/>
  <c r="O64" i="28"/>
  <c r="M64" i="28"/>
  <c r="I64" i="28"/>
  <c r="AB64" i="28" s="1"/>
  <c r="G64" i="28"/>
  <c r="W63" i="28"/>
  <c r="AC63" i="28" s="1"/>
  <c r="U63" i="28"/>
  <c r="S63" i="28"/>
  <c r="Q63" i="28"/>
  <c r="O63" i="28"/>
  <c r="M63" i="28"/>
  <c r="I63" i="28"/>
  <c r="AB63" i="28" s="1"/>
  <c r="G63" i="28"/>
  <c r="W62" i="28"/>
  <c r="AC62" i="28" s="1"/>
  <c r="U62" i="28"/>
  <c r="S62" i="28"/>
  <c r="Q62" i="28"/>
  <c r="O62" i="28"/>
  <c r="M62" i="28"/>
  <c r="I62" i="28"/>
  <c r="AB62" i="28" s="1"/>
  <c r="G62" i="28"/>
  <c r="W61" i="28"/>
  <c r="AC61" i="28" s="1"/>
  <c r="U61" i="28"/>
  <c r="S61" i="28"/>
  <c r="Q61" i="28"/>
  <c r="O61" i="28"/>
  <c r="M61" i="28"/>
  <c r="I61" i="28"/>
  <c r="AB61" i="28" s="1"/>
  <c r="G61" i="28"/>
  <c r="W60" i="28"/>
  <c r="AC60" i="28" s="1"/>
  <c r="U60" i="28"/>
  <c r="S60" i="28"/>
  <c r="Q60" i="28"/>
  <c r="O60" i="28"/>
  <c r="M60" i="28"/>
  <c r="I60" i="28"/>
  <c r="AB60" i="28" s="1"/>
  <c r="G60" i="28"/>
  <c r="W59" i="28"/>
  <c r="AC59" i="28" s="1"/>
  <c r="U59" i="28"/>
  <c r="S59" i="28"/>
  <c r="Q59" i="28"/>
  <c r="O59" i="28"/>
  <c r="M59" i="28"/>
  <c r="I59" i="28"/>
  <c r="AB59" i="28" s="1"/>
  <c r="G59" i="28"/>
  <c r="W58" i="28"/>
  <c r="AC58" i="28" s="1"/>
  <c r="U58" i="28"/>
  <c r="S58" i="28"/>
  <c r="Q58" i="28"/>
  <c r="O58" i="28"/>
  <c r="M58" i="28"/>
  <c r="I58" i="28"/>
  <c r="AB58" i="28" s="1"/>
  <c r="G58" i="28"/>
  <c r="W57" i="28"/>
  <c r="AC57" i="28" s="1"/>
  <c r="U57" i="28"/>
  <c r="S57" i="28"/>
  <c r="Q57" i="28"/>
  <c r="O57" i="28"/>
  <c r="M57" i="28"/>
  <c r="I57" i="28"/>
  <c r="AB57" i="28" s="1"/>
  <c r="G57" i="28"/>
  <c r="W56" i="28"/>
  <c r="AC56" i="28" s="1"/>
  <c r="U56" i="28"/>
  <c r="S56" i="28"/>
  <c r="Q56" i="28"/>
  <c r="O56" i="28"/>
  <c r="M56" i="28"/>
  <c r="I56" i="28"/>
  <c r="AB56" i="28" s="1"/>
  <c r="G56" i="28"/>
  <c r="W55" i="28"/>
  <c r="AC55" i="28" s="1"/>
  <c r="U55" i="28"/>
  <c r="S55" i="28"/>
  <c r="Q55" i="28"/>
  <c r="O55" i="28"/>
  <c r="M55" i="28"/>
  <c r="I55" i="28"/>
  <c r="AB55" i="28" s="1"/>
  <c r="G55" i="28"/>
  <c r="W54" i="28"/>
  <c r="AC54" i="28" s="1"/>
  <c r="U54" i="28"/>
  <c r="S54" i="28"/>
  <c r="Q54" i="28"/>
  <c r="O54" i="28"/>
  <c r="M54" i="28"/>
  <c r="I54" i="28"/>
  <c r="AB54" i="28" s="1"/>
  <c r="G54" i="28"/>
  <c r="W53" i="28"/>
  <c r="AC53" i="28" s="1"/>
  <c r="U53" i="28"/>
  <c r="S53" i="28"/>
  <c r="Q53" i="28"/>
  <c r="O53" i="28"/>
  <c r="M53" i="28"/>
  <c r="I53" i="28"/>
  <c r="AB53" i="28" s="1"/>
  <c r="G53" i="28"/>
  <c r="W52" i="28"/>
  <c r="AC52" i="28" s="1"/>
  <c r="U52" i="28"/>
  <c r="S52" i="28"/>
  <c r="Q52" i="28"/>
  <c r="O52" i="28"/>
  <c r="M52" i="28"/>
  <c r="I52" i="28"/>
  <c r="AB52" i="28" s="1"/>
  <c r="G52" i="28"/>
  <c r="W51" i="28"/>
  <c r="AC51" i="28" s="1"/>
  <c r="U51" i="28"/>
  <c r="S51" i="28"/>
  <c r="Q51" i="28"/>
  <c r="O51" i="28"/>
  <c r="M51" i="28"/>
  <c r="I51" i="28"/>
  <c r="AB51" i="28" s="1"/>
  <c r="G51" i="28"/>
  <c r="W50" i="28"/>
  <c r="AC50" i="28" s="1"/>
  <c r="U50" i="28"/>
  <c r="S50" i="28"/>
  <c r="Q50" i="28"/>
  <c r="O50" i="28"/>
  <c r="M50" i="28"/>
  <c r="I50" i="28"/>
  <c r="AB50" i="28" s="1"/>
  <c r="G50" i="28"/>
  <c r="W49" i="28"/>
  <c r="AC49" i="28" s="1"/>
  <c r="U49" i="28"/>
  <c r="S49" i="28"/>
  <c r="Q49" i="28"/>
  <c r="O49" i="28"/>
  <c r="M49" i="28"/>
  <c r="I49" i="28"/>
  <c r="AB49" i="28" s="1"/>
  <c r="G49" i="28"/>
  <c r="W48" i="28"/>
  <c r="AC48" i="28" s="1"/>
  <c r="U48" i="28"/>
  <c r="S48" i="28"/>
  <c r="Q48" i="28"/>
  <c r="O48" i="28"/>
  <c r="M48" i="28"/>
  <c r="I48" i="28"/>
  <c r="AB48" i="28" s="1"/>
  <c r="G48" i="28"/>
  <c r="W47" i="28"/>
  <c r="AC47" i="28" s="1"/>
  <c r="U47" i="28"/>
  <c r="S47" i="28"/>
  <c r="Q47" i="28"/>
  <c r="O47" i="28"/>
  <c r="M47" i="28"/>
  <c r="I47" i="28"/>
  <c r="AB47" i="28" s="1"/>
  <c r="G47" i="28"/>
  <c r="W46" i="28"/>
  <c r="AC46" i="28" s="1"/>
  <c r="U46" i="28"/>
  <c r="S46" i="28"/>
  <c r="Q46" i="28"/>
  <c r="O46" i="28"/>
  <c r="M46" i="28"/>
  <c r="I46" i="28"/>
  <c r="AB46" i="28" s="1"/>
  <c r="G46" i="28"/>
  <c r="W45" i="28"/>
  <c r="AC45" i="28" s="1"/>
  <c r="U45" i="28"/>
  <c r="S45" i="28"/>
  <c r="Q45" i="28"/>
  <c r="O45" i="28"/>
  <c r="M45" i="28"/>
  <c r="I45" i="28"/>
  <c r="AB45" i="28" s="1"/>
  <c r="G45" i="28"/>
  <c r="W44" i="28"/>
  <c r="AC44" i="28" s="1"/>
  <c r="U44" i="28"/>
  <c r="S44" i="28"/>
  <c r="Q44" i="28"/>
  <c r="O44" i="28"/>
  <c r="M44" i="28"/>
  <c r="I44" i="28"/>
  <c r="AB44" i="28" s="1"/>
  <c r="G44" i="28"/>
  <c r="W43" i="28"/>
  <c r="AC43" i="28" s="1"/>
  <c r="U43" i="28"/>
  <c r="S43" i="28"/>
  <c r="Q43" i="28"/>
  <c r="O43" i="28"/>
  <c r="M43" i="28"/>
  <c r="I43" i="28"/>
  <c r="AB43" i="28" s="1"/>
  <c r="G43" i="28"/>
  <c r="W42" i="28"/>
  <c r="AC42" i="28" s="1"/>
  <c r="U42" i="28"/>
  <c r="S42" i="28"/>
  <c r="Q42" i="28"/>
  <c r="O42" i="28"/>
  <c r="M42" i="28"/>
  <c r="I42" i="28"/>
  <c r="AB42" i="28" s="1"/>
  <c r="G42" i="28"/>
  <c r="W41" i="28"/>
  <c r="AC41" i="28" s="1"/>
  <c r="U41" i="28"/>
  <c r="S41" i="28"/>
  <c r="Q41" i="28"/>
  <c r="O41" i="28"/>
  <c r="M41" i="28"/>
  <c r="I41" i="28"/>
  <c r="AB41" i="28" s="1"/>
  <c r="G41" i="28"/>
  <c r="W40" i="28"/>
  <c r="AC40" i="28" s="1"/>
  <c r="U40" i="28"/>
  <c r="S40" i="28"/>
  <c r="Q40" i="28"/>
  <c r="O40" i="28"/>
  <c r="M40" i="28"/>
  <c r="I40" i="28"/>
  <c r="AB40" i="28" s="1"/>
  <c r="G40" i="28"/>
  <c r="W39" i="28"/>
  <c r="AC39" i="28" s="1"/>
  <c r="U39" i="28"/>
  <c r="S39" i="28"/>
  <c r="Q39" i="28"/>
  <c r="O39" i="28"/>
  <c r="M39" i="28"/>
  <c r="I39" i="28"/>
  <c r="AB39" i="28" s="1"/>
  <c r="G39" i="28"/>
  <c r="W38" i="28"/>
  <c r="AC38" i="28" s="1"/>
  <c r="U38" i="28"/>
  <c r="S38" i="28"/>
  <c r="Q38" i="28"/>
  <c r="O38" i="28"/>
  <c r="M38" i="28"/>
  <c r="I38" i="28"/>
  <c r="AB38" i="28" s="1"/>
  <c r="G38" i="28"/>
  <c r="W37" i="28"/>
  <c r="AC37" i="28" s="1"/>
  <c r="U37" i="28"/>
  <c r="S37" i="28"/>
  <c r="Q37" i="28"/>
  <c r="O37" i="28"/>
  <c r="M37" i="28"/>
  <c r="I37" i="28"/>
  <c r="AB37" i="28" s="1"/>
  <c r="G37" i="28"/>
  <c r="W36" i="28"/>
  <c r="AC36" i="28" s="1"/>
  <c r="U36" i="28"/>
  <c r="S36" i="28"/>
  <c r="Q36" i="28"/>
  <c r="O36" i="28"/>
  <c r="M36" i="28"/>
  <c r="I36" i="28"/>
  <c r="AB36" i="28" s="1"/>
  <c r="G36" i="28"/>
  <c r="W35" i="28"/>
  <c r="AC35" i="28" s="1"/>
  <c r="U35" i="28"/>
  <c r="S35" i="28"/>
  <c r="Q35" i="28"/>
  <c r="O35" i="28"/>
  <c r="M35" i="28"/>
  <c r="I35" i="28"/>
  <c r="AB35" i="28" s="1"/>
  <c r="G35" i="28"/>
  <c r="W34" i="28"/>
  <c r="AC34" i="28" s="1"/>
  <c r="U34" i="28"/>
  <c r="S34" i="28"/>
  <c r="Q34" i="28"/>
  <c r="O34" i="28"/>
  <c r="M34" i="28"/>
  <c r="I34" i="28"/>
  <c r="AB34" i="28" s="1"/>
  <c r="G34" i="28"/>
  <c r="W33" i="28"/>
  <c r="AC33" i="28" s="1"/>
  <c r="U33" i="28"/>
  <c r="S33" i="28"/>
  <c r="Q33" i="28"/>
  <c r="O33" i="28"/>
  <c r="M33" i="28"/>
  <c r="I33" i="28"/>
  <c r="AB33" i="28" s="1"/>
  <c r="G33" i="28"/>
  <c r="W32" i="28"/>
  <c r="AC32" i="28" s="1"/>
  <c r="U32" i="28"/>
  <c r="S32" i="28"/>
  <c r="Q32" i="28"/>
  <c r="O32" i="28"/>
  <c r="M32" i="28"/>
  <c r="I32" i="28"/>
  <c r="AB32" i="28" s="1"/>
  <c r="G32" i="28"/>
  <c r="W31" i="28"/>
  <c r="AC31" i="28" s="1"/>
  <c r="U31" i="28"/>
  <c r="S31" i="28"/>
  <c r="Q31" i="28"/>
  <c r="O31" i="28"/>
  <c r="M31" i="28"/>
  <c r="I31" i="28"/>
  <c r="AB31" i="28" s="1"/>
  <c r="G31" i="28"/>
  <c r="W30" i="28"/>
  <c r="AC30" i="28" s="1"/>
  <c r="U30" i="28"/>
  <c r="S30" i="28"/>
  <c r="Q30" i="28"/>
  <c r="O30" i="28"/>
  <c r="M30" i="28"/>
  <c r="I30" i="28"/>
  <c r="AB30" i="28" s="1"/>
  <c r="G30" i="28"/>
  <c r="W29" i="28"/>
  <c r="AC29" i="28" s="1"/>
  <c r="U29" i="28"/>
  <c r="S29" i="28"/>
  <c r="Q29" i="28"/>
  <c r="O29" i="28"/>
  <c r="M29" i="28"/>
  <c r="I29" i="28"/>
  <c r="AB29" i="28" s="1"/>
  <c r="G29" i="28"/>
  <c r="W28" i="28"/>
  <c r="AC28" i="28" s="1"/>
  <c r="U28" i="28"/>
  <c r="S28" i="28"/>
  <c r="Q28" i="28"/>
  <c r="O28" i="28"/>
  <c r="M28" i="28"/>
  <c r="I28" i="28"/>
  <c r="AB28" i="28" s="1"/>
  <c r="G28" i="28"/>
  <c r="W27" i="28"/>
  <c r="AC27" i="28" s="1"/>
  <c r="U27" i="28"/>
  <c r="S27" i="28"/>
  <c r="Q27" i="28"/>
  <c r="O27" i="28"/>
  <c r="M27" i="28"/>
  <c r="I27" i="28"/>
  <c r="AB27" i="28" s="1"/>
  <c r="G27" i="28"/>
  <c r="W25" i="28"/>
  <c r="U25" i="28"/>
  <c r="S25" i="28"/>
  <c r="Q25" i="28"/>
  <c r="O25" i="28"/>
  <c r="M25" i="28"/>
  <c r="I25" i="28"/>
  <c r="G25" i="28"/>
  <c r="W26" i="28"/>
  <c r="U26" i="28"/>
  <c r="S26" i="28"/>
  <c r="Q26" i="28"/>
  <c r="O26" i="28"/>
  <c r="M26" i="28"/>
  <c r="I26" i="28"/>
  <c r="G26" i="28"/>
  <c r="W22" i="28"/>
  <c r="U22" i="28"/>
  <c r="S22" i="28"/>
  <c r="Q22" i="28"/>
  <c r="O22" i="28"/>
  <c r="M22" i="28"/>
  <c r="I22" i="28"/>
  <c r="G22" i="28"/>
  <c r="W24" i="28"/>
  <c r="U24" i="28"/>
  <c r="S24" i="28"/>
  <c r="Q24" i="28"/>
  <c r="O24" i="28"/>
  <c r="M24" i="28"/>
  <c r="I24" i="28"/>
  <c r="G24" i="28"/>
  <c r="W21" i="28"/>
  <c r="U21" i="28"/>
  <c r="S21" i="28"/>
  <c r="Q21" i="28"/>
  <c r="O21" i="28"/>
  <c r="M21" i="28"/>
  <c r="I21" i="28"/>
  <c r="G21" i="28"/>
  <c r="W19" i="28"/>
  <c r="U19" i="28"/>
  <c r="S19" i="28"/>
  <c r="Q19" i="28"/>
  <c r="O19" i="28"/>
  <c r="M19" i="28"/>
  <c r="I19" i="28"/>
  <c r="G19" i="28"/>
  <c r="W13" i="28"/>
  <c r="U13" i="28"/>
  <c r="S13" i="28"/>
  <c r="Q13" i="28"/>
  <c r="O13" i="28"/>
  <c r="M13" i="28"/>
  <c r="I13" i="28"/>
  <c r="G13" i="28"/>
  <c r="W14" i="28"/>
  <c r="U14" i="28"/>
  <c r="S14" i="28"/>
  <c r="Q14" i="28"/>
  <c r="O14" i="28"/>
  <c r="M14" i="28"/>
  <c r="I14" i="28"/>
  <c r="G14" i="28"/>
  <c r="W15" i="28"/>
  <c r="U15" i="28"/>
  <c r="S15" i="28"/>
  <c r="Q15" i="28"/>
  <c r="O15" i="28"/>
  <c r="M15" i="28"/>
  <c r="I15" i="28"/>
  <c r="G15" i="28"/>
  <c r="W11" i="28"/>
  <c r="U11" i="28"/>
  <c r="S11" i="28"/>
  <c r="Q11" i="28"/>
  <c r="O11" i="28"/>
  <c r="M11" i="28"/>
  <c r="I11" i="28"/>
  <c r="G11" i="28"/>
  <c r="W7" i="28"/>
  <c r="U7" i="28"/>
  <c r="S7" i="28"/>
  <c r="Q7" i="28"/>
  <c r="O7" i="28"/>
  <c r="M7" i="28"/>
  <c r="I7" i="28"/>
  <c r="G7" i="28"/>
  <c r="W16" i="28"/>
  <c r="U16" i="28"/>
  <c r="S16" i="28"/>
  <c r="Q16" i="28"/>
  <c r="O16" i="28"/>
  <c r="M16" i="28"/>
  <c r="I16" i="28"/>
  <c r="G16" i="28"/>
  <c r="W20" i="28"/>
  <c r="U20" i="28"/>
  <c r="S20" i="28"/>
  <c r="Q20" i="28"/>
  <c r="O20" i="28"/>
  <c r="M20" i="28"/>
  <c r="I20" i="28"/>
  <c r="G20" i="28"/>
  <c r="W17" i="28"/>
  <c r="U17" i="28"/>
  <c r="S17" i="28"/>
  <c r="Q17" i="28"/>
  <c r="O17" i="28"/>
  <c r="M17" i="28"/>
  <c r="I17" i="28"/>
  <c r="G17" i="28"/>
  <c r="W12" i="28"/>
  <c r="U12" i="28"/>
  <c r="S12" i="28"/>
  <c r="Q12" i="28"/>
  <c r="O12" i="28"/>
  <c r="M12" i="28"/>
  <c r="I12" i="28"/>
  <c r="G12" i="28"/>
  <c r="W23" i="28"/>
  <c r="U23" i="28"/>
  <c r="S23" i="28"/>
  <c r="Q23" i="28"/>
  <c r="O23" i="28"/>
  <c r="M23" i="28"/>
  <c r="I23" i="28"/>
  <c r="G23" i="28"/>
  <c r="W8" i="28"/>
  <c r="U8" i="28"/>
  <c r="S8" i="28"/>
  <c r="Q8" i="28"/>
  <c r="O8" i="28"/>
  <c r="M8" i="28"/>
  <c r="I8" i="28"/>
  <c r="G8" i="28"/>
  <c r="W10" i="28"/>
  <c r="U10" i="28"/>
  <c r="S10" i="28"/>
  <c r="Q10" i="28"/>
  <c r="O10" i="28"/>
  <c r="M10" i="28"/>
  <c r="I10" i="28"/>
  <c r="G10" i="28"/>
  <c r="W9" i="28"/>
  <c r="U9" i="28"/>
  <c r="S9" i="28"/>
  <c r="Q9" i="28"/>
  <c r="O9" i="28"/>
  <c r="M9" i="28"/>
  <c r="I9" i="28"/>
  <c r="G9" i="28"/>
  <c r="W18" i="28"/>
  <c r="U18" i="28"/>
  <c r="S18" i="28"/>
  <c r="Q18" i="28"/>
  <c r="O18" i="28"/>
  <c r="M18" i="28"/>
  <c r="I18" i="28"/>
  <c r="G18" i="28"/>
  <c r="U6" i="28"/>
  <c r="R6" i="28"/>
  <c r="S6" i="28" s="1"/>
  <c r="N6" i="28"/>
  <c r="O6" i="28" s="1"/>
  <c r="L6" i="28"/>
  <c r="M6" i="28" s="1"/>
  <c r="E6" i="28"/>
  <c r="D6" i="28"/>
  <c r="J6" i="28"/>
  <c r="AA5" i="28"/>
  <c r="Z5" i="28"/>
  <c r="Y5" i="28"/>
  <c r="X5" i="28"/>
  <c r="V5" i="28"/>
  <c r="T5" i="28"/>
  <c r="R5" i="28"/>
  <c r="P5" i="28"/>
  <c r="N5" i="28"/>
  <c r="L5" i="28"/>
  <c r="J5" i="28"/>
  <c r="H5" i="28"/>
  <c r="F5" i="28"/>
  <c r="X100" i="25"/>
  <c r="W100" i="25"/>
  <c r="S100" i="25"/>
  <c r="R100" i="25"/>
  <c r="K100" i="25"/>
  <c r="I100" i="25"/>
  <c r="H100" i="25"/>
  <c r="G100" i="25"/>
  <c r="X99" i="25"/>
  <c r="W99" i="25"/>
  <c r="S99" i="25"/>
  <c r="R99" i="25"/>
  <c r="K99" i="25"/>
  <c r="I99" i="25"/>
  <c r="H99" i="25"/>
  <c r="G99" i="25"/>
  <c r="X98" i="25"/>
  <c r="W98" i="25"/>
  <c r="S98" i="25"/>
  <c r="R98" i="25"/>
  <c r="K98" i="25"/>
  <c r="I98" i="25"/>
  <c r="H98" i="25"/>
  <c r="G98" i="25"/>
  <c r="X97" i="25"/>
  <c r="W97" i="25"/>
  <c r="S97" i="25"/>
  <c r="R97" i="25"/>
  <c r="K97" i="25"/>
  <c r="I97" i="25"/>
  <c r="H97" i="25"/>
  <c r="G97" i="25"/>
  <c r="X96" i="25"/>
  <c r="W96" i="25"/>
  <c r="S96" i="25"/>
  <c r="R96" i="25"/>
  <c r="K96" i="25"/>
  <c r="I96" i="25"/>
  <c r="H96" i="25"/>
  <c r="G96" i="25"/>
  <c r="X95" i="25"/>
  <c r="W95" i="25"/>
  <c r="S95" i="25"/>
  <c r="R95" i="25"/>
  <c r="K95" i="25"/>
  <c r="I95" i="25"/>
  <c r="H95" i="25"/>
  <c r="G95" i="25"/>
  <c r="X94" i="25"/>
  <c r="W94" i="25"/>
  <c r="S94" i="25"/>
  <c r="R94" i="25"/>
  <c r="K94" i="25"/>
  <c r="I94" i="25"/>
  <c r="H94" i="25"/>
  <c r="G94" i="25"/>
  <c r="X93" i="25"/>
  <c r="W93" i="25"/>
  <c r="S93" i="25"/>
  <c r="R93" i="25"/>
  <c r="K93" i="25"/>
  <c r="I93" i="25"/>
  <c r="H93" i="25"/>
  <c r="G93" i="25"/>
  <c r="X92" i="25"/>
  <c r="W92" i="25"/>
  <c r="S92" i="25"/>
  <c r="R92" i="25"/>
  <c r="K92" i="25"/>
  <c r="I92" i="25"/>
  <c r="H92" i="25"/>
  <c r="G92" i="25"/>
  <c r="X91" i="25"/>
  <c r="W91" i="25"/>
  <c r="S91" i="25"/>
  <c r="R91" i="25"/>
  <c r="K91" i="25"/>
  <c r="I91" i="25"/>
  <c r="H91" i="25"/>
  <c r="G91" i="25"/>
  <c r="X90" i="25"/>
  <c r="W90" i="25"/>
  <c r="S90" i="25"/>
  <c r="R90" i="25"/>
  <c r="K90" i="25"/>
  <c r="I90" i="25"/>
  <c r="H90" i="25"/>
  <c r="G90" i="25"/>
  <c r="X89" i="25"/>
  <c r="W89" i="25"/>
  <c r="S89" i="25"/>
  <c r="R89" i="25"/>
  <c r="K89" i="25"/>
  <c r="I89" i="25"/>
  <c r="H89" i="25"/>
  <c r="G89" i="25"/>
  <c r="X88" i="25"/>
  <c r="W88" i="25"/>
  <c r="S88" i="25"/>
  <c r="R88" i="25"/>
  <c r="K88" i="25"/>
  <c r="I88" i="25"/>
  <c r="H88" i="25"/>
  <c r="G88" i="25"/>
  <c r="X87" i="25"/>
  <c r="W87" i="25"/>
  <c r="S87" i="25"/>
  <c r="R87" i="25"/>
  <c r="K87" i="25"/>
  <c r="I87" i="25"/>
  <c r="H87" i="25"/>
  <c r="G87" i="25"/>
  <c r="X86" i="25"/>
  <c r="W86" i="25"/>
  <c r="S86" i="25"/>
  <c r="R86" i="25"/>
  <c r="K86" i="25"/>
  <c r="I86" i="25"/>
  <c r="H86" i="25"/>
  <c r="G86" i="25"/>
  <c r="X85" i="25"/>
  <c r="W85" i="25"/>
  <c r="S85" i="25"/>
  <c r="R85" i="25"/>
  <c r="K85" i="25"/>
  <c r="I85" i="25"/>
  <c r="H85" i="25"/>
  <c r="G85" i="25"/>
  <c r="X84" i="25"/>
  <c r="W84" i="25"/>
  <c r="S84" i="25"/>
  <c r="R84" i="25"/>
  <c r="K84" i="25"/>
  <c r="I84" i="25"/>
  <c r="H84" i="25"/>
  <c r="G84" i="25"/>
  <c r="X83" i="25"/>
  <c r="W83" i="25"/>
  <c r="S83" i="25"/>
  <c r="R83" i="25"/>
  <c r="K83" i="25"/>
  <c r="I83" i="25"/>
  <c r="H83" i="25"/>
  <c r="G83" i="25"/>
  <c r="X82" i="25"/>
  <c r="W82" i="25"/>
  <c r="S82" i="25"/>
  <c r="R82" i="25"/>
  <c r="K82" i="25"/>
  <c r="I82" i="25"/>
  <c r="H82" i="25"/>
  <c r="G82" i="25"/>
  <c r="X81" i="25"/>
  <c r="W81" i="25"/>
  <c r="S81" i="25"/>
  <c r="R81" i="25"/>
  <c r="K81" i="25"/>
  <c r="I81" i="25"/>
  <c r="H81" i="25"/>
  <c r="G81" i="25"/>
  <c r="X80" i="25"/>
  <c r="W80" i="25"/>
  <c r="S80" i="25"/>
  <c r="R80" i="25"/>
  <c r="K80" i="25"/>
  <c r="I80" i="25"/>
  <c r="H80" i="25"/>
  <c r="G80" i="25"/>
  <c r="X79" i="25"/>
  <c r="W79" i="25"/>
  <c r="S79" i="25"/>
  <c r="R79" i="25"/>
  <c r="K79" i="25"/>
  <c r="I79" i="25"/>
  <c r="H79" i="25"/>
  <c r="G79" i="25"/>
  <c r="X78" i="25"/>
  <c r="W78" i="25"/>
  <c r="S78" i="25"/>
  <c r="R78" i="25"/>
  <c r="K78" i="25"/>
  <c r="I78" i="25"/>
  <c r="H78" i="25"/>
  <c r="G78" i="25"/>
  <c r="X77" i="25"/>
  <c r="W77" i="25"/>
  <c r="S77" i="25"/>
  <c r="R77" i="25"/>
  <c r="K77" i="25"/>
  <c r="I77" i="25"/>
  <c r="H77" i="25"/>
  <c r="G77" i="25"/>
  <c r="X76" i="25"/>
  <c r="W76" i="25"/>
  <c r="S76" i="25"/>
  <c r="R76" i="25"/>
  <c r="K76" i="25"/>
  <c r="I76" i="25"/>
  <c r="H76" i="25"/>
  <c r="G76" i="25"/>
  <c r="X75" i="25"/>
  <c r="W75" i="25"/>
  <c r="S75" i="25"/>
  <c r="R75" i="25"/>
  <c r="K75" i="25"/>
  <c r="I75" i="25"/>
  <c r="H75" i="25"/>
  <c r="G75" i="25"/>
  <c r="X74" i="25"/>
  <c r="W74" i="25"/>
  <c r="S74" i="25"/>
  <c r="R74" i="25"/>
  <c r="K74" i="25"/>
  <c r="I74" i="25"/>
  <c r="H74" i="25"/>
  <c r="G74" i="25"/>
  <c r="X73" i="25"/>
  <c r="W73" i="25"/>
  <c r="S73" i="25"/>
  <c r="R73" i="25"/>
  <c r="K73" i="25"/>
  <c r="I73" i="25"/>
  <c r="H73" i="25"/>
  <c r="G73" i="25"/>
  <c r="X72" i="25"/>
  <c r="W72" i="25"/>
  <c r="S72" i="25"/>
  <c r="R72" i="25"/>
  <c r="K72" i="25"/>
  <c r="I72" i="25"/>
  <c r="H72" i="25"/>
  <c r="G72" i="25"/>
  <c r="X71" i="25"/>
  <c r="W71" i="25"/>
  <c r="S71" i="25"/>
  <c r="R71" i="25"/>
  <c r="K71" i="25"/>
  <c r="I71" i="25"/>
  <c r="H71" i="25"/>
  <c r="G71" i="25"/>
  <c r="X70" i="25"/>
  <c r="W70" i="25"/>
  <c r="S70" i="25"/>
  <c r="R70" i="25"/>
  <c r="K70" i="25"/>
  <c r="I70" i="25"/>
  <c r="H70" i="25"/>
  <c r="G70" i="25"/>
  <c r="X69" i="25"/>
  <c r="W69" i="25"/>
  <c r="S69" i="25"/>
  <c r="R69" i="25"/>
  <c r="K69" i="25"/>
  <c r="I69" i="25"/>
  <c r="H69" i="25"/>
  <c r="G69" i="25"/>
  <c r="X68" i="25"/>
  <c r="W68" i="25"/>
  <c r="S68" i="25"/>
  <c r="R68" i="25"/>
  <c r="K68" i="25"/>
  <c r="I68" i="25"/>
  <c r="H68" i="25"/>
  <c r="G68" i="25"/>
  <c r="X67" i="25"/>
  <c r="W67" i="25"/>
  <c r="S67" i="25"/>
  <c r="R67" i="25"/>
  <c r="K67" i="25"/>
  <c r="I67" i="25"/>
  <c r="H67" i="25"/>
  <c r="G67" i="25"/>
  <c r="X66" i="25"/>
  <c r="W66" i="25"/>
  <c r="S66" i="25"/>
  <c r="R66" i="25"/>
  <c r="K66" i="25"/>
  <c r="I66" i="25"/>
  <c r="H66" i="25"/>
  <c r="G66" i="25"/>
  <c r="X65" i="25"/>
  <c r="W65" i="25"/>
  <c r="S65" i="25"/>
  <c r="R65" i="25"/>
  <c r="K65" i="25"/>
  <c r="I65" i="25"/>
  <c r="H65" i="25"/>
  <c r="G65" i="25"/>
  <c r="X64" i="25"/>
  <c r="W64" i="25"/>
  <c r="S64" i="25"/>
  <c r="R64" i="25"/>
  <c r="K64" i="25"/>
  <c r="I64" i="25"/>
  <c r="H64" i="25"/>
  <c r="G64" i="25"/>
  <c r="X63" i="25"/>
  <c r="W63" i="25"/>
  <c r="S63" i="25"/>
  <c r="R63" i="25"/>
  <c r="K63" i="25"/>
  <c r="I63" i="25"/>
  <c r="H63" i="25"/>
  <c r="G63" i="25"/>
  <c r="X62" i="25"/>
  <c r="W62" i="25"/>
  <c r="S62" i="25"/>
  <c r="R62" i="25"/>
  <c r="K62" i="25"/>
  <c r="I62" i="25"/>
  <c r="H62" i="25"/>
  <c r="G62" i="25"/>
  <c r="X61" i="25"/>
  <c r="W61" i="25"/>
  <c r="S61" i="25"/>
  <c r="R61" i="25"/>
  <c r="K61" i="25"/>
  <c r="I61" i="25"/>
  <c r="H61" i="25"/>
  <c r="G61" i="25"/>
  <c r="X60" i="25"/>
  <c r="W60" i="25"/>
  <c r="S60" i="25"/>
  <c r="R60" i="25"/>
  <c r="K60" i="25"/>
  <c r="I60" i="25"/>
  <c r="H60" i="25"/>
  <c r="G60" i="25"/>
  <c r="X59" i="25"/>
  <c r="W59" i="25"/>
  <c r="S59" i="25"/>
  <c r="R59" i="25"/>
  <c r="K59" i="25"/>
  <c r="I59" i="25"/>
  <c r="H59" i="25"/>
  <c r="G59" i="25"/>
  <c r="X58" i="25"/>
  <c r="W58" i="25"/>
  <c r="S58" i="25"/>
  <c r="R58" i="25"/>
  <c r="K58" i="25"/>
  <c r="I58" i="25"/>
  <c r="H58" i="25"/>
  <c r="G58" i="25"/>
  <c r="X57" i="25"/>
  <c r="W57" i="25"/>
  <c r="S57" i="25"/>
  <c r="R57" i="25"/>
  <c r="K57" i="25"/>
  <c r="I57" i="25"/>
  <c r="H57" i="25"/>
  <c r="G57" i="25"/>
  <c r="X56" i="25"/>
  <c r="W56" i="25"/>
  <c r="S56" i="25"/>
  <c r="R56" i="25"/>
  <c r="K56" i="25"/>
  <c r="I56" i="25"/>
  <c r="H56" i="25"/>
  <c r="G56" i="25"/>
  <c r="X55" i="25"/>
  <c r="W55" i="25"/>
  <c r="S55" i="25"/>
  <c r="R55" i="25"/>
  <c r="K55" i="25"/>
  <c r="I55" i="25"/>
  <c r="H55" i="25"/>
  <c r="G55" i="25"/>
  <c r="X54" i="25"/>
  <c r="W54" i="25"/>
  <c r="S54" i="25"/>
  <c r="R54" i="25"/>
  <c r="K54" i="25"/>
  <c r="I54" i="25"/>
  <c r="H54" i="25"/>
  <c r="G54" i="25"/>
  <c r="X53" i="25"/>
  <c r="W53" i="25"/>
  <c r="S53" i="25"/>
  <c r="R53" i="25"/>
  <c r="K53" i="25"/>
  <c r="I53" i="25"/>
  <c r="H53" i="25"/>
  <c r="G53" i="25"/>
  <c r="X52" i="25"/>
  <c r="W52" i="25"/>
  <c r="S52" i="25"/>
  <c r="R52" i="25"/>
  <c r="K52" i="25"/>
  <c r="I52" i="25"/>
  <c r="H52" i="25"/>
  <c r="G52" i="25"/>
  <c r="X51" i="25"/>
  <c r="W51" i="25"/>
  <c r="S51" i="25"/>
  <c r="R51" i="25"/>
  <c r="K51" i="25"/>
  <c r="I51" i="25"/>
  <c r="H51" i="25"/>
  <c r="G51" i="25"/>
  <c r="X50" i="25"/>
  <c r="W50" i="25"/>
  <c r="S50" i="25"/>
  <c r="R50" i="25"/>
  <c r="K50" i="25"/>
  <c r="I50" i="25"/>
  <c r="H50" i="25"/>
  <c r="G50" i="25"/>
  <c r="X49" i="25"/>
  <c r="W49" i="25"/>
  <c r="S49" i="25"/>
  <c r="R49" i="25"/>
  <c r="K49" i="25"/>
  <c r="I49" i="25"/>
  <c r="H49" i="25"/>
  <c r="G49" i="25"/>
  <c r="X48" i="25"/>
  <c r="W48" i="25"/>
  <c r="S48" i="25"/>
  <c r="R48" i="25"/>
  <c r="K48" i="25"/>
  <c r="I48" i="25"/>
  <c r="H48" i="25"/>
  <c r="G48" i="25"/>
  <c r="X47" i="25"/>
  <c r="W47" i="25"/>
  <c r="S47" i="25"/>
  <c r="R47" i="25"/>
  <c r="K47" i="25"/>
  <c r="I47" i="25"/>
  <c r="H47" i="25"/>
  <c r="G47" i="25"/>
  <c r="X46" i="25"/>
  <c r="W46" i="25"/>
  <c r="S46" i="25"/>
  <c r="R46" i="25"/>
  <c r="K46" i="25"/>
  <c r="I46" i="25"/>
  <c r="H46" i="25"/>
  <c r="G46" i="25"/>
  <c r="X45" i="25"/>
  <c r="W45" i="25"/>
  <c r="S45" i="25"/>
  <c r="R45" i="25"/>
  <c r="K45" i="25"/>
  <c r="I45" i="25"/>
  <c r="H45" i="25"/>
  <c r="G45" i="25"/>
  <c r="X44" i="25"/>
  <c r="W44" i="25"/>
  <c r="S44" i="25"/>
  <c r="R44" i="25"/>
  <c r="K44" i="25"/>
  <c r="I44" i="25"/>
  <c r="H44" i="25"/>
  <c r="G44" i="25"/>
  <c r="X43" i="25"/>
  <c r="W43" i="25"/>
  <c r="S43" i="25"/>
  <c r="R43" i="25"/>
  <c r="K43" i="25"/>
  <c r="I43" i="25"/>
  <c r="H43" i="25"/>
  <c r="G43" i="25"/>
  <c r="X42" i="25"/>
  <c r="W42" i="25"/>
  <c r="S42" i="25"/>
  <c r="R42" i="25"/>
  <c r="K42" i="25"/>
  <c r="I42" i="25"/>
  <c r="H42" i="25"/>
  <c r="G42" i="25"/>
  <c r="X41" i="25"/>
  <c r="W41" i="25"/>
  <c r="S41" i="25"/>
  <c r="R41" i="25"/>
  <c r="K41" i="25"/>
  <c r="I41" i="25"/>
  <c r="H41" i="25"/>
  <c r="G41" i="25"/>
  <c r="X40" i="25"/>
  <c r="W40" i="25"/>
  <c r="S40" i="25"/>
  <c r="R40" i="25"/>
  <c r="K40" i="25"/>
  <c r="I40" i="25"/>
  <c r="H40" i="25"/>
  <c r="G40" i="25"/>
  <c r="X39" i="25"/>
  <c r="W39" i="25"/>
  <c r="S39" i="25"/>
  <c r="R39" i="25"/>
  <c r="K39" i="25"/>
  <c r="I39" i="25"/>
  <c r="H39" i="25"/>
  <c r="G39" i="25"/>
  <c r="X38" i="25"/>
  <c r="W38" i="25"/>
  <c r="S38" i="25"/>
  <c r="R38" i="25"/>
  <c r="K38" i="25"/>
  <c r="I38" i="25"/>
  <c r="H38" i="25"/>
  <c r="G38" i="25"/>
  <c r="X37" i="25"/>
  <c r="W37" i="25"/>
  <c r="S37" i="25"/>
  <c r="R37" i="25"/>
  <c r="K37" i="25"/>
  <c r="I37" i="25"/>
  <c r="H37" i="25"/>
  <c r="G37" i="25"/>
  <c r="X36" i="25"/>
  <c r="W36" i="25"/>
  <c r="S36" i="25"/>
  <c r="R36" i="25"/>
  <c r="K36" i="25"/>
  <c r="I36" i="25"/>
  <c r="H36" i="25"/>
  <c r="G36" i="25"/>
  <c r="X35" i="25"/>
  <c r="W35" i="25"/>
  <c r="S35" i="25"/>
  <c r="R35" i="25"/>
  <c r="K35" i="25"/>
  <c r="I35" i="25"/>
  <c r="H35" i="25"/>
  <c r="G35" i="25"/>
  <c r="X34" i="25"/>
  <c r="W34" i="25"/>
  <c r="S34" i="25"/>
  <c r="R34" i="25"/>
  <c r="K34" i="25"/>
  <c r="I34" i="25"/>
  <c r="H34" i="25"/>
  <c r="G34" i="25"/>
  <c r="X33" i="25"/>
  <c r="W33" i="25"/>
  <c r="S33" i="25"/>
  <c r="R33" i="25"/>
  <c r="K33" i="25"/>
  <c r="I33" i="25"/>
  <c r="H33" i="25"/>
  <c r="G33" i="25"/>
  <c r="X32" i="25"/>
  <c r="W32" i="25"/>
  <c r="S32" i="25"/>
  <c r="R32" i="25"/>
  <c r="K32" i="25"/>
  <c r="I32" i="25"/>
  <c r="H32" i="25"/>
  <c r="G32" i="25"/>
  <c r="X31" i="25"/>
  <c r="W31" i="25"/>
  <c r="S31" i="25"/>
  <c r="R31" i="25"/>
  <c r="K31" i="25"/>
  <c r="I31" i="25"/>
  <c r="H31" i="25"/>
  <c r="G31" i="25"/>
  <c r="X30" i="25"/>
  <c r="W30" i="25"/>
  <c r="S30" i="25"/>
  <c r="R30" i="25"/>
  <c r="K30" i="25"/>
  <c r="I30" i="25"/>
  <c r="H30" i="25"/>
  <c r="G30" i="25"/>
  <c r="X29" i="25"/>
  <c r="W29" i="25"/>
  <c r="S29" i="25"/>
  <c r="R29" i="25"/>
  <c r="K29" i="25"/>
  <c r="I29" i="25"/>
  <c r="H29" i="25"/>
  <c r="G29" i="25"/>
  <c r="X28" i="25"/>
  <c r="W28" i="25"/>
  <c r="S28" i="25"/>
  <c r="R28" i="25"/>
  <c r="K28" i="25"/>
  <c r="I28" i="25"/>
  <c r="H28" i="25"/>
  <c r="G28" i="25"/>
  <c r="X27" i="25"/>
  <c r="W27" i="25"/>
  <c r="S27" i="25"/>
  <c r="R27" i="25"/>
  <c r="K27" i="25"/>
  <c r="I27" i="25"/>
  <c r="H27" i="25"/>
  <c r="G27" i="25"/>
  <c r="X26" i="25"/>
  <c r="W26" i="25"/>
  <c r="S26" i="25"/>
  <c r="R26" i="25"/>
  <c r="K26" i="25"/>
  <c r="I26" i="25"/>
  <c r="H26" i="25"/>
  <c r="G26" i="25"/>
  <c r="X25" i="25"/>
  <c r="W25" i="25"/>
  <c r="S25" i="25"/>
  <c r="R25" i="25"/>
  <c r="K25" i="25"/>
  <c r="I25" i="25"/>
  <c r="H25" i="25"/>
  <c r="G25" i="25"/>
  <c r="X24" i="25"/>
  <c r="W24" i="25"/>
  <c r="S24" i="25"/>
  <c r="R24" i="25"/>
  <c r="K24" i="25"/>
  <c r="I24" i="25"/>
  <c r="H24" i="25"/>
  <c r="G24" i="25"/>
  <c r="X23" i="25"/>
  <c r="W23" i="25"/>
  <c r="S23" i="25"/>
  <c r="R23" i="25"/>
  <c r="K23" i="25"/>
  <c r="I23" i="25"/>
  <c r="H23" i="25"/>
  <c r="G23" i="25"/>
  <c r="X22" i="25"/>
  <c r="W22" i="25"/>
  <c r="S22" i="25"/>
  <c r="R22" i="25"/>
  <c r="K22" i="25"/>
  <c r="I22" i="25"/>
  <c r="H22" i="25"/>
  <c r="G22" i="25"/>
  <c r="X21" i="25"/>
  <c r="W21" i="25"/>
  <c r="S21" i="25"/>
  <c r="R21" i="25"/>
  <c r="K21" i="25"/>
  <c r="I21" i="25"/>
  <c r="H21" i="25"/>
  <c r="G21" i="25"/>
  <c r="X20" i="25"/>
  <c r="W20" i="25"/>
  <c r="S20" i="25"/>
  <c r="R20" i="25"/>
  <c r="K20" i="25"/>
  <c r="I20" i="25"/>
  <c r="H20" i="25"/>
  <c r="G20" i="25"/>
  <c r="X19" i="25"/>
  <c r="W19" i="25"/>
  <c r="S19" i="25"/>
  <c r="R19" i="25"/>
  <c r="K19" i="25"/>
  <c r="I19" i="25"/>
  <c r="H19" i="25"/>
  <c r="G19" i="25"/>
  <c r="X18" i="25"/>
  <c r="W18" i="25"/>
  <c r="S18" i="25"/>
  <c r="R18" i="25"/>
  <c r="K18" i="25"/>
  <c r="I18" i="25"/>
  <c r="H18" i="25"/>
  <c r="G18" i="25"/>
  <c r="X17" i="25"/>
  <c r="W17" i="25"/>
  <c r="S17" i="25"/>
  <c r="R17" i="25"/>
  <c r="K17" i="25"/>
  <c r="I17" i="25"/>
  <c r="H17" i="25"/>
  <c r="G17" i="25"/>
  <c r="X16" i="25"/>
  <c r="W16" i="25"/>
  <c r="S16" i="25"/>
  <c r="R16" i="25"/>
  <c r="K16" i="25"/>
  <c r="I16" i="25"/>
  <c r="H16" i="25"/>
  <c r="G16" i="25"/>
  <c r="X15" i="25"/>
  <c r="W15" i="25"/>
  <c r="S15" i="25"/>
  <c r="R15" i="25"/>
  <c r="K15" i="25"/>
  <c r="I15" i="25"/>
  <c r="H15" i="25"/>
  <c r="G15" i="25"/>
  <c r="X14" i="25"/>
  <c r="W14" i="25"/>
  <c r="S14" i="25"/>
  <c r="R14" i="25"/>
  <c r="K14" i="25"/>
  <c r="I14" i="25"/>
  <c r="H14" i="25"/>
  <c r="G14" i="25"/>
  <c r="X13" i="25"/>
  <c r="W13" i="25"/>
  <c r="S13" i="25"/>
  <c r="R13" i="25"/>
  <c r="K13" i="25"/>
  <c r="I13" i="25"/>
  <c r="H13" i="25"/>
  <c r="G13" i="25"/>
  <c r="X12" i="25"/>
  <c r="W12" i="25"/>
  <c r="S12" i="25"/>
  <c r="R12" i="25"/>
  <c r="K12" i="25"/>
  <c r="I12" i="25"/>
  <c r="H12" i="25"/>
  <c r="G12" i="25"/>
  <c r="X11" i="25"/>
  <c r="W11" i="25"/>
  <c r="S11" i="25"/>
  <c r="R11" i="25"/>
  <c r="K11" i="25"/>
  <c r="I11" i="25"/>
  <c r="H11" i="25"/>
  <c r="G11" i="25"/>
  <c r="X10" i="25"/>
  <c r="W10" i="25"/>
  <c r="S10" i="25"/>
  <c r="R10" i="25"/>
  <c r="K10" i="25"/>
  <c r="I10" i="25"/>
  <c r="H10" i="25"/>
  <c r="G10" i="25"/>
  <c r="X9" i="25"/>
  <c r="W9" i="25"/>
  <c r="S9" i="25"/>
  <c r="R9" i="25"/>
  <c r="K9" i="25"/>
  <c r="I9" i="25"/>
  <c r="H9" i="25"/>
  <c r="G9" i="25"/>
  <c r="X8" i="25"/>
  <c r="W8" i="25"/>
  <c r="S8" i="25"/>
  <c r="R8" i="25"/>
  <c r="K8" i="25"/>
  <c r="I8" i="25"/>
  <c r="H8" i="25"/>
  <c r="G8" i="25"/>
  <c r="X7" i="25"/>
  <c r="W7" i="25"/>
  <c r="S7" i="25"/>
  <c r="R7" i="25"/>
  <c r="K7" i="25"/>
  <c r="I7" i="25"/>
  <c r="H7" i="25"/>
  <c r="G7" i="25"/>
  <c r="Y6" i="25"/>
  <c r="X6" i="25"/>
  <c r="V6" i="25"/>
  <c r="T6" i="25"/>
  <c r="R6" i="25"/>
  <c r="Q6" i="25"/>
  <c r="P6" i="25"/>
  <c r="O6" i="25"/>
  <c r="M6" i="25"/>
  <c r="L6" i="25"/>
  <c r="J6" i="25"/>
  <c r="I6" i="25"/>
  <c r="H6" i="25"/>
  <c r="G6" i="25"/>
  <c r="F6" i="25"/>
  <c r="E6" i="25"/>
  <c r="E1" i="25"/>
  <c r="D1" i="25"/>
  <c r="C1" i="25"/>
  <c r="I35" i="37"/>
  <c r="H35" i="37"/>
  <c r="G35" i="37"/>
  <c r="I34" i="37"/>
  <c r="H34" i="37"/>
  <c r="G34" i="37"/>
  <c r="I33" i="37"/>
  <c r="H33" i="37"/>
  <c r="G33" i="37"/>
  <c r="I32" i="37"/>
  <c r="H32" i="37"/>
  <c r="G32" i="37"/>
  <c r="I31" i="37"/>
  <c r="H31" i="37"/>
  <c r="G31" i="37"/>
  <c r="I30" i="37"/>
  <c r="H30" i="37"/>
  <c r="G30" i="37"/>
  <c r="I29" i="37"/>
  <c r="H29" i="37"/>
  <c r="G29" i="37"/>
  <c r="I28" i="37"/>
  <c r="H28" i="37"/>
  <c r="G28" i="37"/>
  <c r="I27" i="37"/>
  <c r="H27" i="37"/>
  <c r="G27" i="37"/>
  <c r="I26" i="37"/>
  <c r="H26" i="37"/>
  <c r="G26" i="37"/>
  <c r="I25" i="37"/>
  <c r="H25" i="37"/>
  <c r="G25" i="37"/>
  <c r="I24" i="37"/>
  <c r="H24" i="37"/>
  <c r="G24" i="37"/>
  <c r="I23" i="37"/>
  <c r="H23" i="37"/>
  <c r="G23" i="37"/>
  <c r="I22" i="37"/>
  <c r="H22" i="37"/>
  <c r="G22" i="37"/>
  <c r="I21" i="37"/>
  <c r="H21" i="37"/>
  <c r="G21" i="37"/>
  <c r="I20" i="37"/>
  <c r="H20" i="37"/>
  <c r="G20" i="37"/>
  <c r="I19" i="37"/>
  <c r="H19" i="37"/>
  <c r="G19" i="37"/>
  <c r="I18" i="37"/>
  <c r="H18" i="37"/>
  <c r="G18" i="37"/>
  <c r="I17" i="37"/>
  <c r="H17" i="37"/>
  <c r="G17" i="37"/>
  <c r="I16" i="37"/>
  <c r="H16" i="37"/>
  <c r="G16" i="37"/>
  <c r="X12" i="37"/>
  <c r="W12" i="37"/>
  <c r="R12" i="37"/>
  <c r="I12" i="37"/>
  <c r="H12" i="37"/>
  <c r="G12" i="37"/>
  <c r="X11" i="37"/>
  <c r="W11" i="37"/>
  <c r="R11" i="37"/>
  <c r="I11" i="37"/>
  <c r="H11" i="37"/>
  <c r="G11" i="37"/>
  <c r="X10" i="37"/>
  <c r="W10" i="37"/>
  <c r="R10" i="37"/>
  <c r="I10" i="37"/>
  <c r="H10" i="37"/>
  <c r="G10" i="37"/>
  <c r="X9" i="37"/>
  <c r="W9" i="37"/>
  <c r="R9" i="37"/>
  <c r="I9" i="37"/>
  <c r="H9" i="37"/>
  <c r="G9" i="37"/>
  <c r="X8" i="37"/>
  <c r="W8" i="37"/>
  <c r="R8" i="37"/>
  <c r="I8" i="37"/>
  <c r="H8" i="37"/>
  <c r="G8" i="37"/>
  <c r="F6" i="37"/>
  <c r="AA5" i="37"/>
  <c r="Y5" i="37"/>
  <c r="U5" i="37"/>
  <c r="N5" i="37"/>
  <c r="M5" i="37"/>
  <c r="H5" i="37"/>
  <c r="G5" i="37"/>
  <c r="I2" i="37"/>
  <c r="H2" i="37"/>
  <c r="G2" i="37"/>
  <c r="E1" i="37"/>
  <c r="D1" i="37"/>
  <c r="C1" i="37"/>
  <c r="X27" i="34"/>
  <c r="W27" i="34"/>
  <c r="S27" i="34"/>
  <c r="R27" i="34"/>
  <c r="K27" i="34"/>
  <c r="I27" i="34"/>
  <c r="H27" i="34"/>
  <c r="G27" i="34"/>
  <c r="X26" i="34"/>
  <c r="W26" i="34"/>
  <c r="S26" i="34"/>
  <c r="R26" i="34"/>
  <c r="K26" i="34"/>
  <c r="I26" i="34"/>
  <c r="H26" i="34"/>
  <c r="G26" i="34"/>
  <c r="X25" i="34"/>
  <c r="W25" i="34"/>
  <c r="S25" i="34"/>
  <c r="R25" i="34"/>
  <c r="K25" i="34"/>
  <c r="I25" i="34"/>
  <c r="H25" i="34"/>
  <c r="G25" i="34"/>
  <c r="X24" i="34"/>
  <c r="W24" i="34"/>
  <c r="S24" i="34"/>
  <c r="R24" i="34"/>
  <c r="K24" i="34"/>
  <c r="I24" i="34"/>
  <c r="H24" i="34"/>
  <c r="G24" i="34"/>
  <c r="X23" i="34"/>
  <c r="W23" i="34"/>
  <c r="S23" i="34"/>
  <c r="R23" i="34"/>
  <c r="K23" i="34"/>
  <c r="I23" i="34"/>
  <c r="H23" i="34"/>
  <c r="G23" i="34"/>
  <c r="X22" i="34"/>
  <c r="W22" i="34"/>
  <c r="S22" i="34"/>
  <c r="R22" i="34"/>
  <c r="K22" i="34"/>
  <c r="I22" i="34"/>
  <c r="H22" i="34"/>
  <c r="G22" i="34"/>
  <c r="X21" i="34"/>
  <c r="W21" i="34"/>
  <c r="S21" i="34"/>
  <c r="R21" i="34"/>
  <c r="K21" i="34"/>
  <c r="I21" i="34"/>
  <c r="H21" i="34"/>
  <c r="G21" i="34"/>
  <c r="X20" i="34"/>
  <c r="W20" i="34"/>
  <c r="S20" i="34"/>
  <c r="R20" i="34"/>
  <c r="K20" i="34"/>
  <c r="I20" i="34"/>
  <c r="H20" i="34"/>
  <c r="G20" i="34"/>
  <c r="X19" i="34"/>
  <c r="W19" i="34"/>
  <c r="S19" i="34"/>
  <c r="R19" i="34"/>
  <c r="K19" i="34"/>
  <c r="I19" i="34"/>
  <c r="H19" i="34"/>
  <c r="G19" i="34"/>
  <c r="X18" i="34"/>
  <c r="W18" i="34"/>
  <c r="S18" i="34"/>
  <c r="R18" i="34"/>
  <c r="K18" i="34"/>
  <c r="I18" i="34"/>
  <c r="H18" i="34"/>
  <c r="G18" i="34"/>
  <c r="X17" i="34"/>
  <c r="W17" i="34"/>
  <c r="S17" i="34"/>
  <c r="R17" i="34"/>
  <c r="K17" i="34"/>
  <c r="I17" i="34"/>
  <c r="H17" i="34"/>
  <c r="G17" i="34"/>
  <c r="X16" i="34"/>
  <c r="W16" i="34"/>
  <c r="S16" i="34"/>
  <c r="R16" i="34"/>
  <c r="K16" i="34"/>
  <c r="I16" i="34"/>
  <c r="H16" i="34"/>
  <c r="G16" i="34"/>
  <c r="X15" i="34"/>
  <c r="W15" i="34"/>
  <c r="S15" i="34"/>
  <c r="R15" i="34"/>
  <c r="K15" i="34"/>
  <c r="I15" i="34"/>
  <c r="H15" i="34"/>
  <c r="G15" i="34"/>
  <c r="X14" i="34"/>
  <c r="W14" i="34"/>
  <c r="S14" i="34"/>
  <c r="R14" i="34"/>
  <c r="K14" i="34"/>
  <c r="I14" i="34"/>
  <c r="H14" i="34"/>
  <c r="G14" i="34"/>
  <c r="X13" i="34"/>
  <c r="W13" i="34"/>
  <c r="S13" i="34"/>
  <c r="R13" i="34"/>
  <c r="K13" i="34"/>
  <c r="I13" i="34"/>
  <c r="H13" i="34"/>
  <c r="G13" i="34"/>
  <c r="X12" i="34"/>
  <c r="W12" i="34"/>
  <c r="S12" i="34"/>
  <c r="R12" i="34"/>
  <c r="K12" i="34"/>
  <c r="I12" i="34"/>
  <c r="H12" i="34"/>
  <c r="G12" i="34"/>
  <c r="X11" i="34"/>
  <c r="W11" i="34"/>
  <c r="S11" i="34"/>
  <c r="R11" i="34"/>
  <c r="K11" i="34"/>
  <c r="I11" i="34"/>
  <c r="H11" i="34"/>
  <c r="G11" i="34"/>
  <c r="X10" i="34"/>
  <c r="W10" i="34"/>
  <c r="S10" i="34"/>
  <c r="R10" i="34"/>
  <c r="K10" i="34"/>
  <c r="I10" i="34"/>
  <c r="H10" i="34"/>
  <c r="G10" i="34"/>
  <c r="X9" i="34"/>
  <c r="W9" i="34"/>
  <c r="S9" i="34"/>
  <c r="R9" i="34"/>
  <c r="K9" i="34"/>
  <c r="I9" i="34"/>
  <c r="H9" i="34"/>
  <c r="G9" i="34"/>
  <c r="X8" i="34"/>
  <c r="W8" i="34"/>
  <c r="S8" i="34"/>
  <c r="R8" i="34"/>
  <c r="K8" i="34"/>
  <c r="I8" i="34"/>
  <c r="H8" i="34"/>
  <c r="G8" i="34"/>
  <c r="X7" i="34"/>
  <c r="W7" i="34"/>
  <c r="S7" i="34"/>
  <c r="R7" i="34"/>
  <c r="K7" i="34"/>
  <c r="I7" i="34"/>
  <c r="H7" i="34"/>
  <c r="G7" i="34"/>
  <c r="AA6" i="34"/>
  <c r="Y6" i="34"/>
  <c r="X6" i="34"/>
  <c r="V6" i="34"/>
  <c r="T6" i="34"/>
  <c r="R6" i="34"/>
  <c r="Q6" i="34"/>
  <c r="P6" i="34"/>
  <c r="O6" i="34"/>
  <c r="M6" i="34"/>
  <c r="L6" i="34"/>
  <c r="J6" i="34"/>
  <c r="I6" i="34"/>
  <c r="H6" i="34"/>
  <c r="G6" i="34"/>
  <c r="F6" i="34"/>
  <c r="E6" i="34"/>
  <c r="E1" i="34"/>
  <c r="D1" i="34"/>
  <c r="C1" i="34"/>
  <c r="X27" i="1"/>
  <c r="W27" i="1"/>
  <c r="S27" i="1"/>
  <c r="R27" i="1"/>
  <c r="K27" i="1"/>
  <c r="I27" i="1"/>
  <c r="H27" i="1"/>
  <c r="G27" i="1"/>
  <c r="X26" i="1"/>
  <c r="W26" i="1"/>
  <c r="S26" i="1"/>
  <c r="R26" i="1"/>
  <c r="K26" i="1"/>
  <c r="I26" i="1"/>
  <c r="H26" i="1"/>
  <c r="G26" i="1"/>
  <c r="X25" i="1"/>
  <c r="W25" i="1"/>
  <c r="S25" i="1"/>
  <c r="R25" i="1"/>
  <c r="K25" i="1"/>
  <c r="I25" i="1"/>
  <c r="H25" i="1"/>
  <c r="G25" i="1"/>
  <c r="X24" i="1"/>
  <c r="W24" i="1"/>
  <c r="S24" i="1"/>
  <c r="R24" i="1"/>
  <c r="K24" i="1"/>
  <c r="I24" i="1"/>
  <c r="H24" i="1"/>
  <c r="G24" i="1"/>
  <c r="X23" i="1"/>
  <c r="W23" i="1"/>
  <c r="S23" i="1"/>
  <c r="R23" i="1"/>
  <c r="K23" i="1"/>
  <c r="I23" i="1"/>
  <c r="H23" i="1"/>
  <c r="G23" i="1"/>
  <c r="X22" i="1"/>
  <c r="W22" i="1"/>
  <c r="S22" i="1"/>
  <c r="R22" i="1"/>
  <c r="K22" i="1"/>
  <c r="I22" i="1"/>
  <c r="H22" i="1"/>
  <c r="G22" i="1"/>
  <c r="X21" i="1"/>
  <c r="W21" i="1"/>
  <c r="S21" i="1"/>
  <c r="R21" i="1"/>
  <c r="K21" i="1"/>
  <c r="I21" i="1"/>
  <c r="H21" i="1"/>
  <c r="G21" i="1"/>
  <c r="X20" i="1"/>
  <c r="W20" i="1"/>
  <c r="S20" i="1"/>
  <c r="R20" i="1"/>
  <c r="K20" i="1"/>
  <c r="I20" i="1"/>
  <c r="H20" i="1"/>
  <c r="G20" i="1"/>
  <c r="X19" i="1"/>
  <c r="W19" i="1"/>
  <c r="S19" i="1"/>
  <c r="R19" i="1"/>
  <c r="K19" i="1"/>
  <c r="I19" i="1"/>
  <c r="H19" i="1"/>
  <c r="G19" i="1"/>
  <c r="X18" i="1"/>
  <c r="W18" i="1"/>
  <c r="S18" i="1"/>
  <c r="R18" i="1"/>
  <c r="K18" i="1"/>
  <c r="I18" i="1"/>
  <c r="H18" i="1"/>
  <c r="G18" i="1"/>
  <c r="X17" i="1"/>
  <c r="W17" i="1"/>
  <c r="S17" i="1"/>
  <c r="R17" i="1"/>
  <c r="K17" i="1"/>
  <c r="I17" i="1"/>
  <c r="H17" i="1"/>
  <c r="G17" i="1"/>
  <c r="X16" i="1"/>
  <c r="W16" i="1"/>
  <c r="S16" i="1"/>
  <c r="R16" i="1"/>
  <c r="K16" i="1"/>
  <c r="I16" i="1"/>
  <c r="H16" i="1"/>
  <c r="G16" i="1"/>
  <c r="X15" i="1"/>
  <c r="W15" i="1"/>
  <c r="S15" i="1"/>
  <c r="R15" i="1"/>
  <c r="K15" i="1"/>
  <c r="I15" i="1"/>
  <c r="H15" i="1"/>
  <c r="G15" i="1"/>
  <c r="X14" i="1"/>
  <c r="W14" i="1"/>
  <c r="S14" i="1"/>
  <c r="R14" i="1"/>
  <c r="K14" i="1"/>
  <c r="I14" i="1"/>
  <c r="H14" i="1"/>
  <c r="G14" i="1"/>
  <c r="X13" i="1"/>
  <c r="W13" i="1"/>
  <c r="S13" i="1"/>
  <c r="R13" i="1"/>
  <c r="K13" i="1"/>
  <c r="I13" i="1"/>
  <c r="H13" i="1"/>
  <c r="G13" i="1"/>
  <c r="X12" i="1"/>
  <c r="W12" i="1"/>
  <c r="S12" i="1"/>
  <c r="R12" i="1"/>
  <c r="K12" i="1"/>
  <c r="I12" i="1"/>
  <c r="H12" i="1"/>
  <c r="G12" i="1"/>
  <c r="X11" i="1"/>
  <c r="W11" i="1"/>
  <c r="S11" i="1"/>
  <c r="R11" i="1"/>
  <c r="K11" i="1"/>
  <c r="I11" i="1"/>
  <c r="H11" i="1"/>
  <c r="G11" i="1"/>
  <c r="X10" i="1"/>
  <c r="W10" i="1"/>
  <c r="S10" i="1"/>
  <c r="R10" i="1"/>
  <c r="K10" i="1"/>
  <c r="I10" i="1"/>
  <c r="H10" i="1"/>
  <c r="G10" i="1"/>
  <c r="X9" i="1"/>
  <c r="W9" i="1"/>
  <c r="S9" i="1"/>
  <c r="R9" i="1"/>
  <c r="K9" i="1"/>
  <c r="I9" i="1"/>
  <c r="H9" i="1"/>
  <c r="G9" i="1"/>
  <c r="X8" i="1"/>
  <c r="W8" i="1"/>
  <c r="S8" i="1"/>
  <c r="R8" i="1"/>
  <c r="K8" i="1"/>
  <c r="I8" i="1"/>
  <c r="H8" i="1"/>
  <c r="G8" i="1"/>
  <c r="X7" i="1"/>
  <c r="W7" i="1"/>
  <c r="S7" i="1"/>
  <c r="R7" i="1"/>
  <c r="K7" i="1"/>
  <c r="I7" i="1"/>
  <c r="H7" i="1"/>
  <c r="G7" i="1"/>
  <c r="AA6" i="1"/>
  <c r="Y6" i="1"/>
  <c r="X6" i="1"/>
  <c r="V6" i="1"/>
  <c r="T6" i="1"/>
  <c r="R6" i="1"/>
  <c r="Q6" i="1"/>
  <c r="P6" i="1"/>
  <c r="O6" i="1"/>
  <c r="M6" i="1"/>
  <c r="L6" i="1"/>
  <c r="J6" i="1"/>
  <c r="I6" i="1"/>
  <c r="H6" i="1"/>
  <c r="G6" i="1"/>
  <c r="F6" i="1"/>
  <c r="E6" i="1"/>
  <c r="I2" i="1"/>
  <c r="H2" i="1"/>
  <c r="G2" i="1"/>
  <c r="E1" i="1"/>
  <c r="D1" i="1"/>
  <c r="C1" i="1"/>
  <c r="K59" i="30"/>
  <c r="H59" i="30"/>
  <c r="G59" i="30"/>
  <c r="L59" i="30" s="1"/>
  <c r="D59" i="30"/>
  <c r="I59" i="30" s="1"/>
  <c r="K58" i="30"/>
  <c r="H58" i="30"/>
  <c r="G58" i="30"/>
  <c r="L58" i="30" s="1"/>
  <c r="D58" i="30"/>
  <c r="I58" i="30" s="1"/>
  <c r="K57" i="30"/>
  <c r="H57" i="30"/>
  <c r="G57" i="30"/>
  <c r="L57" i="30" s="1"/>
  <c r="D57" i="30"/>
  <c r="I57" i="30" s="1"/>
  <c r="K56" i="30"/>
  <c r="H56" i="30"/>
  <c r="G56" i="30"/>
  <c r="L56" i="30" s="1"/>
  <c r="D56" i="30"/>
  <c r="I56" i="30" s="1"/>
  <c r="K55" i="30"/>
  <c r="H55" i="30"/>
  <c r="G55" i="30"/>
  <c r="L55" i="30" s="1"/>
  <c r="D55" i="30"/>
  <c r="I55" i="30" s="1"/>
  <c r="K54" i="30"/>
  <c r="H54" i="30"/>
  <c r="G54" i="30"/>
  <c r="L54" i="30" s="1"/>
  <c r="D54" i="30"/>
  <c r="I54" i="30" s="1"/>
  <c r="K53" i="30"/>
  <c r="H53" i="30"/>
  <c r="G53" i="30"/>
  <c r="L53" i="30" s="1"/>
  <c r="D53" i="30"/>
  <c r="I53" i="30" s="1"/>
  <c r="K52" i="30"/>
  <c r="H52" i="30"/>
  <c r="G52" i="30"/>
  <c r="L52" i="30" s="1"/>
  <c r="D52" i="30"/>
  <c r="I52" i="30" s="1"/>
  <c r="K51" i="30"/>
  <c r="H51" i="30"/>
  <c r="G51" i="30"/>
  <c r="L51" i="30" s="1"/>
  <c r="D51" i="30"/>
  <c r="I51" i="30" s="1"/>
  <c r="K50" i="30"/>
  <c r="H50" i="30"/>
  <c r="G50" i="30"/>
  <c r="L50" i="30" s="1"/>
  <c r="D50" i="30"/>
  <c r="I50" i="30" s="1"/>
  <c r="K49" i="30"/>
  <c r="H49" i="30"/>
  <c r="G49" i="30"/>
  <c r="L49" i="30" s="1"/>
  <c r="D49" i="30"/>
  <c r="I49" i="30" s="1"/>
  <c r="K48" i="30"/>
  <c r="H48" i="30"/>
  <c r="G48" i="30"/>
  <c r="L48" i="30" s="1"/>
  <c r="D48" i="30"/>
  <c r="I48" i="30" s="1"/>
  <c r="K47" i="30"/>
  <c r="H47" i="30"/>
  <c r="G47" i="30"/>
  <c r="L47" i="30" s="1"/>
  <c r="D47" i="30"/>
  <c r="I47" i="30" s="1"/>
  <c r="K46" i="30"/>
  <c r="H46" i="30"/>
  <c r="G46" i="30"/>
  <c r="L46" i="30" s="1"/>
  <c r="D46" i="30"/>
  <c r="I46" i="30" s="1"/>
  <c r="K45" i="30"/>
  <c r="H45" i="30"/>
  <c r="G45" i="30"/>
  <c r="L45" i="30" s="1"/>
  <c r="D45" i="30"/>
  <c r="I45" i="30" s="1"/>
  <c r="K44" i="30"/>
  <c r="H44" i="30"/>
  <c r="G44" i="30"/>
  <c r="L44" i="30" s="1"/>
  <c r="D44" i="30"/>
  <c r="I44" i="30" s="1"/>
  <c r="K43" i="30"/>
  <c r="H43" i="30"/>
  <c r="G43" i="30"/>
  <c r="L43" i="30" s="1"/>
  <c r="D43" i="30"/>
  <c r="I43" i="30" s="1"/>
  <c r="K42" i="30"/>
  <c r="H42" i="30"/>
  <c r="G42" i="30"/>
  <c r="L42" i="30" s="1"/>
  <c r="D42" i="30"/>
  <c r="I42" i="30" s="1"/>
  <c r="K41" i="30"/>
  <c r="H41" i="30"/>
  <c r="G41" i="30"/>
  <c r="L41" i="30" s="1"/>
  <c r="D41" i="30"/>
  <c r="I41" i="30" s="1"/>
  <c r="K40" i="30"/>
  <c r="H40" i="30"/>
  <c r="G40" i="30"/>
  <c r="L40" i="30" s="1"/>
  <c r="D40" i="30"/>
  <c r="I40" i="30" s="1"/>
  <c r="K39" i="30"/>
  <c r="H39" i="30"/>
  <c r="G39" i="30"/>
  <c r="L39" i="30" s="1"/>
  <c r="D39" i="30"/>
  <c r="I39" i="30" s="1"/>
  <c r="K38" i="30"/>
  <c r="H38" i="30"/>
  <c r="G38" i="30"/>
  <c r="L38" i="30" s="1"/>
  <c r="D38" i="30"/>
  <c r="I38" i="30" s="1"/>
  <c r="K37" i="30"/>
  <c r="H37" i="30"/>
  <c r="G37" i="30"/>
  <c r="L37" i="30" s="1"/>
  <c r="D37" i="30"/>
  <c r="I37" i="30" s="1"/>
  <c r="K36" i="30"/>
  <c r="H36" i="30"/>
  <c r="G36" i="30"/>
  <c r="L36" i="30" s="1"/>
  <c r="D36" i="30"/>
  <c r="I36" i="30" s="1"/>
  <c r="K35" i="30"/>
  <c r="H35" i="30"/>
  <c r="G35" i="30"/>
  <c r="L35" i="30" s="1"/>
  <c r="D35" i="30"/>
  <c r="I35" i="30" s="1"/>
  <c r="K34" i="30"/>
  <c r="H34" i="30"/>
  <c r="G34" i="30"/>
  <c r="L34" i="30" s="1"/>
  <c r="D34" i="30"/>
  <c r="I34" i="30" s="1"/>
  <c r="K33" i="30"/>
  <c r="H33" i="30"/>
  <c r="G33" i="30"/>
  <c r="L33" i="30" s="1"/>
  <c r="D33" i="30"/>
  <c r="I33" i="30" s="1"/>
  <c r="K32" i="30"/>
  <c r="H32" i="30"/>
  <c r="G32" i="30"/>
  <c r="L32" i="30" s="1"/>
  <c r="D32" i="30"/>
  <c r="I32" i="30" s="1"/>
  <c r="K31" i="30"/>
  <c r="H31" i="30"/>
  <c r="G31" i="30"/>
  <c r="L31" i="30" s="1"/>
  <c r="D31" i="30"/>
  <c r="I31" i="30" s="1"/>
  <c r="K30" i="30"/>
  <c r="H30" i="30"/>
  <c r="G30" i="30"/>
  <c r="L30" i="30" s="1"/>
  <c r="D30" i="30"/>
  <c r="I30" i="30" s="1"/>
  <c r="K29" i="30"/>
  <c r="H29" i="30"/>
  <c r="G29" i="30"/>
  <c r="L29" i="30" s="1"/>
  <c r="D29" i="30"/>
  <c r="I29" i="30" s="1"/>
  <c r="K28" i="30"/>
  <c r="H28" i="30"/>
  <c r="G28" i="30"/>
  <c r="L28" i="30" s="1"/>
  <c r="D28" i="30"/>
  <c r="I28" i="30" s="1"/>
  <c r="K27" i="30"/>
  <c r="H27" i="30"/>
  <c r="G27" i="30"/>
  <c r="L27" i="30" s="1"/>
  <c r="D27" i="30"/>
  <c r="I27" i="30" s="1"/>
  <c r="K26" i="30"/>
  <c r="H26" i="30"/>
  <c r="G26" i="30"/>
  <c r="L26" i="30" s="1"/>
  <c r="D26" i="30"/>
  <c r="I26" i="30" s="1"/>
  <c r="K25" i="30"/>
  <c r="H25" i="30"/>
  <c r="G25" i="30"/>
  <c r="L25" i="30" s="1"/>
  <c r="D25" i="30"/>
  <c r="I25" i="30" s="1"/>
  <c r="K24" i="30"/>
  <c r="H24" i="30"/>
  <c r="G24" i="30"/>
  <c r="L24" i="30" s="1"/>
  <c r="D24" i="30"/>
  <c r="I24" i="30" s="1"/>
  <c r="K23" i="30"/>
  <c r="H23" i="30"/>
  <c r="G23" i="30"/>
  <c r="L23" i="30" s="1"/>
  <c r="D23" i="30"/>
  <c r="I23" i="30" s="1"/>
  <c r="K22" i="30"/>
  <c r="H22" i="30"/>
  <c r="G22" i="30"/>
  <c r="L22" i="30" s="1"/>
  <c r="D22" i="30"/>
  <c r="I22" i="30" s="1"/>
  <c r="K21" i="30"/>
  <c r="H21" i="30"/>
  <c r="G21" i="30"/>
  <c r="L21" i="30" s="1"/>
  <c r="D21" i="30"/>
  <c r="I21" i="30" s="1"/>
  <c r="K20" i="30"/>
  <c r="H20" i="30"/>
  <c r="G20" i="30"/>
  <c r="L20" i="30" s="1"/>
  <c r="D20" i="30"/>
  <c r="I20" i="30" s="1"/>
  <c r="K19" i="30"/>
  <c r="H19" i="30"/>
  <c r="G19" i="30"/>
  <c r="L19" i="30" s="1"/>
  <c r="D19" i="30"/>
  <c r="I19" i="30" s="1"/>
  <c r="K18" i="30"/>
  <c r="H18" i="30"/>
  <c r="G18" i="30"/>
  <c r="L18" i="30" s="1"/>
  <c r="D18" i="30"/>
  <c r="I18" i="30" s="1"/>
  <c r="K17" i="30"/>
  <c r="H17" i="30"/>
  <c r="G17" i="30"/>
  <c r="L17" i="30" s="1"/>
  <c r="D17" i="30"/>
  <c r="I17" i="30" s="1"/>
  <c r="K16" i="30"/>
  <c r="H16" i="30"/>
  <c r="G16" i="30"/>
  <c r="L16" i="30" s="1"/>
  <c r="D16" i="30"/>
  <c r="I16" i="30" s="1"/>
  <c r="K15" i="30"/>
  <c r="H15" i="30"/>
  <c r="G15" i="30"/>
  <c r="L15" i="30" s="1"/>
  <c r="D15" i="30"/>
  <c r="I15" i="30" s="1"/>
  <c r="K14" i="30"/>
  <c r="H14" i="30"/>
  <c r="G14" i="30"/>
  <c r="L14" i="30" s="1"/>
  <c r="D14" i="30"/>
  <c r="I14" i="30" s="1"/>
  <c r="K13" i="30"/>
  <c r="H13" i="30"/>
  <c r="G13" i="30"/>
  <c r="L13" i="30" s="1"/>
  <c r="D13" i="30"/>
  <c r="I13" i="30" s="1"/>
  <c r="K12" i="30"/>
  <c r="H12" i="30"/>
  <c r="G12" i="30"/>
  <c r="L12" i="30" s="1"/>
  <c r="D12" i="30"/>
  <c r="I12" i="30" s="1"/>
  <c r="K11" i="30"/>
  <c r="H11" i="30"/>
  <c r="G11" i="30"/>
  <c r="L11" i="30" s="1"/>
  <c r="D11" i="30"/>
  <c r="I11" i="30" s="1"/>
  <c r="K10" i="30"/>
  <c r="H10" i="30"/>
  <c r="G10" i="30"/>
  <c r="L10" i="30" s="1"/>
  <c r="D10" i="30"/>
  <c r="I10" i="30" s="1"/>
  <c r="K9" i="30"/>
  <c r="H9" i="30"/>
  <c r="G9" i="30"/>
  <c r="L9" i="30" s="1"/>
  <c r="D9" i="30"/>
  <c r="I9" i="30" s="1"/>
  <c r="K8" i="30"/>
  <c r="H8" i="30"/>
  <c r="G8" i="30"/>
  <c r="L8" i="30" s="1"/>
  <c r="D8" i="30"/>
  <c r="I8" i="30" s="1"/>
  <c r="K7" i="30"/>
  <c r="H7" i="30"/>
  <c r="G7" i="30"/>
  <c r="L7" i="30" s="1"/>
  <c r="D7" i="30"/>
  <c r="I7" i="30" s="1"/>
  <c r="K6" i="30"/>
  <c r="H6" i="30"/>
  <c r="G6" i="30"/>
  <c r="L6" i="30" s="1"/>
  <c r="D6" i="30"/>
  <c r="I6" i="30" s="1"/>
  <c r="D1" i="30"/>
  <c r="A1" i="30"/>
  <c r="A60" i="26"/>
  <c r="F60" i="26" s="1"/>
  <c r="A59" i="26"/>
  <c r="C59" i="26" s="1"/>
  <c r="A58" i="26"/>
  <c r="C58" i="26" s="1"/>
  <c r="A57" i="26"/>
  <c r="C57" i="26" s="1"/>
  <c r="A56" i="26"/>
  <c r="B56" i="26" s="1"/>
  <c r="A55" i="26"/>
  <c r="F55" i="26" s="1"/>
  <c r="A54" i="26"/>
  <c r="A53" i="26"/>
  <c r="F53" i="26" s="1"/>
  <c r="A52" i="26"/>
  <c r="A51" i="26"/>
  <c r="F51" i="26" s="1"/>
  <c r="A50" i="26"/>
  <c r="C50" i="26" s="1"/>
  <c r="A49" i="26"/>
  <c r="A48" i="26"/>
  <c r="A47" i="26"/>
  <c r="F47" i="26" s="1"/>
  <c r="A46" i="26"/>
  <c r="F46" i="26" s="1"/>
  <c r="A45" i="26"/>
  <c r="F45" i="26" s="1"/>
  <c r="A44" i="26"/>
  <c r="F44" i="26" s="1"/>
  <c r="A43" i="26"/>
  <c r="C43" i="26" s="1"/>
  <c r="A42" i="26"/>
  <c r="C42" i="26" s="1"/>
  <c r="A41" i="26"/>
  <c r="C41" i="26" s="1"/>
  <c r="A40" i="26"/>
  <c r="B40" i="26" s="1"/>
  <c r="A39" i="26"/>
  <c r="B39" i="26" s="1"/>
  <c r="A38" i="26"/>
  <c r="A37" i="26"/>
  <c r="B37" i="26" s="1"/>
  <c r="A36" i="26"/>
  <c r="A35" i="26"/>
  <c r="F35" i="26" s="1"/>
  <c r="A34" i="26"/>
  <c r="C34" i="26" s="1"/>
  <c r="A33" i="26"/>
  <c r="F33" i="26" s="1"/>
  <c r="A32" i="26"/>
  <c r="A31" i="26"/>
  <c r="C31" i="26" s="1"/>
  <c r="A30" i="26"/>
  <c r="A29" i="26"/>
  <c r="F29" i="26" s="1"/>
  <c r="A28" i="26"/>
  <c r="F28" i="26" s="1"/>
  <c r="A27" i="26"/>
  <c r="C27" i="26" s="1"/>
  <c r="A26" i="26"/>
  <c r="C26" i="26" s="1"/>
  <c r="A25" i="26"/>
  <c r="C25" i="26" s="1"/>
  <c r="A24" i="26"/>
  <c r="B24" i="26" s="1"/>
  <c r="A23" i="26"/>
  <c r="F23" i="26" s="1"/>
  <c r="A22" i="26"/>
  <c r="C22" i="26" s="1"/>
  <c r="A21" i="26"/>
  <c r="F21" i="26" s="1"/>
  <c r="A20" i="26"/>
  <c r="C20" i="26" s="1"/>
  <c r="A19" i="26"/>
  <c r="B19" i="26" s="1"/>
  <c r="A18" i="26"/>
  <c r="C18" i="26" s="1"/>
  <c r="A17" i="26"/>
  <c r="C17" i="26" s="1"/>
  <c r="A16" i="26"/>
  <c r="C16" i="26" s="1"/>
  <c r="A15" i="26"/>
  <c r="C15" i="26" s="1"/>
  <c r="A14" i="26"/>
  <c r="A13" i="26"/>
  <c r="F13" i="26" s="1"/>
  <c r="A12" i="26"/>
  <c r="F12" i="26" s="1"/>
  <c r="A11" i="26"/>
  <c r="C11" i="26" s="1"/>
  <c r="A10" i="26"/>
  <c r="A9" i="26"/>
  <c r="C9" i="26" s="1"/>
  <c r="A8" i="26"/>
  <c r="B8" i="26" s="1"/>
  <c r="A7" i="26"/>
  <c r="B7" i="26" s="1"/>
  <c r="E1" i="26"/>
  <c r="C1" i="26"/>
  <c r="B1" i="26"/>
  <c r="P15" i="38"/>
  <c r="O15" i="38"/>
  <c r="L15" i="38"/>
  <c r="K15" i="38"/>
  <c r="P14" i="38"/>
  <c r="O14" i="38"/>
  <c r="L14" i="38"/>
  <c r="K14" i="38"/>
  <c r="P13" i="38"/>
  <c r="O13" i="38"/>
  <c r="L13" i="38"/>
  <c r="K13" i="38"/>
  <c r="P12" i="38"/>
  <c r="O12" i="38"/>
  <c r="L12" i="38"/>
  <c r="K12" i="38"/>
  <c r="P11" i="38"/>
  <c r="O11" i="38"/>
  <c r="L11" i="38"/>
  <c r="K11" i="38"/>
  <c r="P10" i="38"/>
  <c r="O10" i="38"/>
  <c r="L10" i="38"/>
  <c r="K10" i="38"/>
  <c r="P9" i="38"/>
  <c r="O9" i="38"/>
  <c r="L9" i="38"/>
  <c r="K9" i="38"/>
  <c r="P8" i="38"/>
  <c r="O8" i="38"/>
  <c r="L8" i="38"/>
  <c r="K8" i="38"/>
  <c r="P7" i="38"/>
  <c r="O7" i="38"/>
  <c r="L7" i="38"/>
  <c r="K7" i="38"/>
  <c r="P6" i="38"/>
  <c r="O6" i="38"/>
  <c r="L6" i="38"/>
  <c r="K6" i="38"/>
  <c r="F57" i="46"/>
  <c r="E57" i="46"/>
  <c r="F56" i="46"/>
  <c r="E56" i="46"/>
  <c r="F55" i="46"/>
  <c r="E55" i="46"/>
  <c r="F54" i="46"/>
  <c r="E54" i="46"/>
  <c r="F53" i="46"/>
  <c r="E53" i="46"/>
  <c r="F52" i="46"/>
  <c r="E52" i="46"/>
  <c r="F51" i="46"/>
  <c r="E51" i="46"/>
  <c r="F50" i="46"/>
  <c r="E50" i="46"/>
  <c r="F49" i="46"/>
  <c r="E49" i="46"/>
  <c r="F48" i="46"/>
  <c r="E48" i="46"/>
  <c r="F47" i="46"/>
  <c r="E47" i="46"/>
  <c r="F46" i="46"/>
  <c r="E46" i="46"/>
  <c r="F45" i="46"/>
  <c r="E45" i="46"/>
  <c r="F44" i="46"/>
  <c r="E44" i="46"/>
  <c r="O43" i="46"/>
  <c r="N43" i="46"/>
  <c r="F43" i="46"/>
  <c r="E43" i="46"/>
  <c r="O42" i="46"/>
  <c r="N42" i="46"/>
  <c r="F42" i="46"/>
  <c r="E42" i="46"/>
  <c r="O41" i="46"/>
  <c r="N41" i="46"/>
  <c r="F41" i="46"/>
  <c r="E41" i="46"/>
  <c r="O40" i="46"/>
  <c r="N40" i="46"/>
  <c r="F40" i="46"/>
  <c r="E40" i="46"/>
  <c r="O39" i="46"/>
  <c r="N39" i="46"/>
  <c r="F39" i="46"/>
  <c r="E39" i="46"/>
  <c r="O38" i="46"/>
  <c r="N38" i="46"/>
  <c r="F38" i="46"/>
  <c r="E38" i="46"/>
  <c r="O37" i="46"/>
  <c r="N37" i="46"/>
  <c r="F37" i="46"/>
  <c r="E37" i="46"/>
  <c r="O36" i="46"/>
  <c r="N36" i="46"/>
  <c r="F36" i="46"/>
  <c r="E36" i="46"/>
  <c r="O35" i="46"/>
  <c r="N35" i="46"/>
  <c r="F35" i="46"/>
  <c r="E35" i="46"/>
  <c r="O34" i="46"/>
  <c r="N34" i="46"/>
  <c r="F34" i="46"/>
  <c r="E34" i="46"/>
  <c r="O33" i="46"/>
  <c r="N33" i="46"/>
  <c r="F33" i="46"/>
  <c r="E33" i="46"/>
  <c r="O32" i="46"/>
  <c r="N32" i="46"/>
  <c r="F32" i="46"/>
  <c r="E32" i="46"/>
  <c r="O31" i="46"/>
  <c r="N31" i="46"/>
  <c r="F31" i="46"/>
  <c r="E31" i="46"/>
  <c r="O30" i="46"/>
  <c r="N30" i="46"/>
  <c r="F30" i="46"/>
  <c r="E30" i="46"/>
  <c r="O29" i="46"/>
  <c r="N29" i="46"/>
  <c r="F29" i="46"/>
  <c r="E29" i="46"/>
  <c r="O28" i="46"/>
  <c r="N28" i="46"/>
  <c r="F28" i="46"/>
  <c r="E28" i="46"/>
  <c r="O27" i="46"/>
  <c r="N27" i="46"/>
  <c r="F27" i="46"/>
  <c r="E27" i="46"/>
  <c r="O26" i="46"/>
  <c r="N26" i="46"/>
  <c r="F26" i="46"/>
  <c r="E26" i="46"/>
  <c r="O25" i="46"/>
  <c r="N25" i="46"/>
  <c r="F25" i="46"/>
  <c r="E25" i="46"/>
  <c r="O24" i="46"/>
  <c r="N24" i="46"/>
  <c r="F24" i="46"/>
  <c r="E24" i="46"/>
  <c r="O23" i="46"/>
  <c r="N23" i="46"/>
  <c r="F23" i="46"/>
  <c r="E23" i="46"/>
  <c r="O22" i="46"/>
  <c r="N22" i="46"/>
  <c r="F22" i="46"/>
  <c r="E22" i="46"/>
  <c r="O21" i="46"/>
  <c r="N21" i="46"/>
  <c r="F21" i="46"/>
  <c r="E21" i="46"/>
  <c r="O20" i="46"/>
  <c r="N20" i="46"/>
  <c r="F20" i="46"/>
  <c r="E20" i="46"/>
  <c r="O19" i="46"/>
  <c r="N19" i="46"/>
  <c r="F19" i="46"/>
  <c r="E19" i="46"/>
  <c r="O18" i="46"/>
  <c r="N18" i="46"/>
  <c r="F18" i="46"/>
  <c r="E18" i="46"/>
  <c r="O17" i="46"/>
  <c r="N17" i="46"/>
  <c r="F17" i="46"/>
  <c r="E17" i="46"/>
  <c r="O16" i="46"/>
  <c r="N16" i="46"/>
  <c r="F16" i="46"/>
  <c r="E16" i="46"/>
  <c r="O15" i="46"/>
  <c r="N15" i="46"/>
  <c r="F15" i="46"/>
  <c r="E15" i="46"/>
  <c r="O14" i="46"/>
  <c r="N14" i="46"/>
  <c r="F14" i="46"/>
  <c r="E14" i="46"/>
  <c r="O13" i="46"/>
  <c r="N13" i="46"/>
  <c r="F13" i="46"/>
  <c r="E13" i="46"/>
  <c r="O12" i="46"/>
  <c r="N12" i="46"/>
  <c r="F12" i="46"/>
  <c r="E12" i="46"/>
  <c r="O11" i="46"/>
  <c r="N11" i="46"/>
  <c r="F11" i="46"/>
  <c r="E11" i="46"/>
  <c r="O10" i="46"/>
  <c r="N10" i="46"/>
  <c r="F10" i="46"/>
  <c r="E10" i="46"/>
  <c r="O9" i="46"/>
  <c r="N9" i="46"/>
  <c r="F9" i="46"/>
  <c r="E9" i="46"/>
  <c r="O8" i="46"/>
  <c r="N8" i="46"/>
  <c r="F8" i="46"/>
  <c r="E8" i="46"/>
  <c r="O7" i="46"/>
  <c r="N7" i="46"/>
  <c r="F7" i="46"/>
  <c r="E7" i="46"/>
  <c r="O6" i="46"/>
  <c r="N6" i="46"/>
  <c r="F6" i="46"/>
  <c r="E6" i="46"/>
  <c r="O5" i="46"/>
  <c r="N5" i="46"/>
  <c r="F5" i="46"/>
  <c r="E5" i="46"/>
  <c r="D1" i="46"/>
  <c r="C1" i="46"/>
  <c r="B1" i="46"/>
  <c r="V61" i="45"/>
  <c r="U61" i="45"/>
  <c r="J61" i="45"/>
  <c r="H61" i="45"/>
  <c r="C61" i="45"/>
  <c r="B61" i="45"/>
  <c r="V60" i="45"/>
  <c r="U60" i="45"/>
  <c r="J60" i="45"/>
  <c r="H60" i="45"/>
  <c r="C60" i="45"/>
  <c r="B60" i="45"/>
  <c r="V59" i="45"/>
  <c r="U59" i="45"/>
  <c r="J59" i="45"/>
  <c r="H59" i="45"/>
  <c r="C59" i="45"/>
  <c r="B59" i="45"/>
  <c r="V58" i="45"/>
  <c r="U58" i="45"/>
  <c r="J58" i="45"/>
  <c r="H58" i="45"/>
  <c r="C58" i="45"/>
  <c r="B58" i="45"/>
  <c r="V57" i="45"/>
  <c r="U57" i="45"/>
  <c r="J57" i="45"/>
  <c r="H57" i="45"/>
  <c r="C57" i="45"/>
  <c r="B57" i="45"/>
  <c r="V56" i="45"/>
  <c r="U56" i="45"/>
  <c r="J56" i="45"/>
  <c r="H56" i="45"/>
  <c r="C56" i="45"/>
  <c r="B56" i="45"/>
  <c r="V55" i="45"/>
  <c r="U55" i="45"/>
  <c r="J55" i="45"/>
  <c r="H55" i="45"/>
  <c r="C55" i="45"/>
  <c r="B55" i="45"/>
  <c r="V54" i="45"/>
  <c r="U54" i="45"/>
  <c r="J54" i="45"/>
  <c r="H54" i="45"/>
  <c r="C54" i="45"/>
  <c r="B54" i="45"/>
  <c r="V53" i="45"/>
  <c r="U53" i="45"/>
  <c r="J53" i="45"/>
  <c r="H53" i="45"/>
  <c r="C53" i="45"/>
  <c r="B53" i="45"/>
  <c r="V52" i="45"/>
  <c r="U52" i="45"/>
  <c r="J52" i="45"/>
  <c r="H52" i="45"/>
  <c r="C52" i="45"/>
  <c r="B52" i="45"/>
  <c r="V51" i="45"/>
  <c r="U51" i="45"/>
  <c r="J51" i="45"/>
  <c r="H51" i="45"/>
  <c r="C51" i="45"/>
  <c r="B51" i="45"/>
  <c r="V50" i="45"/>
  <c r="U50" i="45"/>
  <c r="J50" i="45"/>
  <c r="H50" i="45"/>
  <c r="C50" i="45"/>
  <c r="B50" i="45"/>
  <c r="V49" i="45"/>
  <c r="U49" i="45"/>
  <c r="J49" i="45"/>
  <c r="H49" i="45"/>
  <c r="C49" i="45"/>
  <c r="B49" i="45"/>
  <c r="V48" i="45"/>
  <c r="U48" i="45"/>
  <c r="J48" i="45"/>
  <c r="H48" i="45"/>
  <c r="C48" i="45"/>
  <c r="B48" i="45"/>
  <c r="V47" i="45"/>
  <c r="U47" i="45"/>
  <c r="J47" i="45"/>
  <c r="H47" i="45"/>
  <c r="C47" i="45"/>
  <c r="B47" i="45"/>
  <c r="V46" i="45"/>
  <c r="U46" i="45"/>
  <c r="J46" i="45"/>
  <c r="H46" i="45"/>
  <c r="C46" i="45"/>
  <c r="B46" i="45"/>
  <c r="V45" i="45"/>
  <c r="U45" i="45"/>
  <c r="J45" i="45"/>
  <c r="H45" i="45"/>
  <c r="C45" i="45"/>
  <c r="B45" i="45"/>
  <c r="V44" i="45"/>
  <c r="U44" i="45"/>
  <c r="J44" i="45"/>
  <c r="H44" i="45"/>
  <c r="C44" i="45"/>
  <c r="B44" i="45"/>
  <c r="V43" i="45"/>
  <c r="U43" i="45"/>
  <c r="J43" i="45"/>
  <c r="H43" i="45"/>
  <c r="C43" i="45"/>
  <c r="B43" i="45"/>
  <c r="V42" i="45"/>
  <c r="U42" i="45"/>
  <c r="J42" i="45"/>
  <c r="H42" i="45"/>
  <c r="C42" i="45"/>
  <c r="B42" i="45"/>
  <c r="V41" i="45"/>
  <c r="U41" i="45"/>
  <c r="J41" i="45"/>
  <c r="H41" i="45"/>
  <c r="C41" i="45"/>
  <c r="B41" i="45"/>
  <c r="V40" i="45"/>
  <c r="U40" i="45"/>
  <c r="J40" i="45"/>
  <c r="H40" i="45"/>
  <c r="C40" i="45"/>
  <c r="B40" i="45"/>
  <c r="V39" i="45"/>
  <c r="U39" i="45"/>
  <c r="J39" i="45"/>
  <c r="H39" i="45"/>
  <c r="C39" i="45"/>
  <c r="B39" i="45"/>
  <c r="V38" i="45"/>
  <c r="U38" i="45"/>
  <c r="J38" i="45"/>
  <c r="H38" i="45"/>
  <c r="C38" i="45"/>
  <c r="B38" i="45"/>
  <c r="V37" i="45"/>
  <c r="U37" i="45"/>
  <c r="J37" i="45"/>
  <c r="H37" i="45"/>
  <c r="C37" i="45"/>
  <c r="B37" i="45"/>
  <c r="V36" i="45"/>
  <c r="U36" i="45"/>
  <c r="J36" i="45"/>
  <c r="H36" i="45"/>
  <c r="C36" i="45"/>
  <c r="B36" i="45"/>
  <c r="V35" i="45"/>
  <c r="U35" i="45"/>
  <c r="J35" i="45"/>
  <c r="H35" i="45"/>
  <c r="C35" i="45"/>
  <c r="B35" i="45"/>
  <c r="V34" i="45"/>
  <c r="U34" i="45"/>
  <c r="J34" i="45"/>
  <c r="H34" i="45"/>
  <c r="C34" i="45"/>
  <c r="B34" i="45"/>
  <c r="V33" i="45"/>
  <c r="U33" i="45"/>
  <c r="J33" i="45"/>
  <c r="H33" i="45"/>
  <c r="C33" i="45"/>
  <c r="B33" i="45"/>
  <c r="V32" i="45"/>
  <c r="U32" i="45"/>
  <c r="J32" i="45"/>
  <c r="H32" i="45"/>
  <c r="C32" i="45"/>
  <c r="B32" i="45"/>
  <c r="V31" i="45"/>
  <c r="U31" i="45"/>
  <c r="J31" i="45"/>
  <c r="H31" i="45"/>
  <c r="C31" i="45"/>
  <c r="B31" i="45"/>
  <c r="V30" i="45"/>
  <c r="U30" i="45"/>
  <c r="J30" i="45"/>
  <c r="H30" i="45"/>
  <c r="C30" i="45"/>
  <c r="B30" i="45"/>
  <c r="V29" i="45"/>
  <c r="U29" i="45"/>
  <c r="J29" i="45"/>
  <c r="H29" i="45"/>
  <c r="C29" i="45"/>
  <c r="B29" i="45"/>
  <c r="V28" i="45"/>
  <c r="U28" i="45"/>
  <c r="J28" i="45"/>
  <c r="H28" i="45"/>
  <c r="C28" i="45"/>
  <c r="B28" i="45"/>
  <c r="V27" i="45"/>
  <c r="U27" i="45"/>
  <c r="J27" i="45"/>
  <c r="H27" i="45"/>
  <c r="C27" i="45"/>
  <c r="B27" i="45"/>
  <c r="V26" i="45"/>
  <c r="U26" i="45"/>
  <c r="J26" i="45"/>
  <c r="H26" i="45"/>
  <c r="C26" i="45"/>
  <c r="B26" i="45"/>
  <c r="V25" i="45"/>
  <c r="U25" i="45"/>
  <c r="J25" i="45"/>
  <c r="H25" i="45"/>
  <c r="C25" i="45"/>
  <c r="B25" i="45"/>
  <c r="V24" i="45"/>
  <c r="U24" i="45"/>
  <c r="J24" i="45"/>
  <c r="H24" i="45"/>
  <c r="C24" i="45"/>
  <c r="B24" i="45"/>
  <c r="V23" i="45"/>
  <c r="U23" i="45"/>
  <c r="J23" i="45"/>
  <c r="H23" i="45"/>
  <c r="C23" i="45"/>
  <c r="B23" i="45"/>
  <c r="V22" i="45"/>
  <c r="U22" i="45"/>
  <c r="J22" i="45"/>
  <c r="H22" i="45"/>
  <c r="C22" i="45"/>
  <c r="B22" i="45"/>
  <c r="V21" i="45"/>
  <c r="U21" i="45"/>
  <c r="J21" i="45"/>
  <c r="H21" i="45"/>
  <c r="C21" i="45"/>
  <c r="B21" i="45"/>
  <c r="V20" i="45"/>
  <c r="U20" i="45"/>
  <c r="J20" i="45"/>
  <c r="H20" i="45"/>
  <c r="C20" i="45"/>
  <c r="B20" i="45"/>
  <c r="V19" i="45"/>
  <c r="U19" i="45"/>
  <c r="J19" i="45"/>
  <c r="H19" i="45"/>
  <c r="C19" i="45"/>
  <c r="B19" i="45"/>
  <c r="V18" i="45"/>
  <c r="U18" i="45"/>
  <c r="J18" i="45"/>
  <c r="H18" i="45"/>
  <c r="C18" i="45"/>
  <c r="B18" i="45"/>
  <c r="V17" i="45"/>
  <c r="U17" i="45"/>
  <c r="J17" i="45"/>
  <c r="H17" i="45"/>
  <c r="C17" i="45"/>
  <c r="B17" i="45"/>
  <c r="V16" i="45"/>
  <c r="U16" i="45"/>
  <c r="J16" i="45"/>
  <c r="H16" i="45"/>
  <c r="C16" i="45"/>
  <c r="B16" i="45"/>
  <c r="V15" i="45"/>
  <c r="U15" i="45"/>
  <c r="J15" i="45"/>
  <c r="H15" i="45"/>
  <c r="C15" i="45"/>
  <c r="B15" i="45"/>
  <c r="V14" i="45"/>
  <c r="U14" i="45"/>
  <c r="J14" i="45"/>
  <c r="H14" i="45"/>
  <c r="C14" i="45"/>
  <c r="B14" i="45"/>
  <c r="V13" i="45"/>
  <c r="U13" i="45"/>
  <c r="J13" i="45"/>
  <c r="H13" i="45"/>
  <c r="C13" i="45"/>
  <c r="B13" i="45"/>
  <c r="V12" i="45"/>
  <c r="U12" i="45"/>
  <c r="J12" i="45"/>
  <c r="H12" i="45"/>
  <c r="C12" i="45"/>
  <c r="B12" i="45"/>
  <c r="V11" i="45"/>
  <c r="U11" i="45"/>
  <c r="J11" i="45"/>
  <c r="H11" i="45"/>
  <c r="C11" i="45"/>
  <c r="B11" i="45"/>
  <c r="V10" i="45"/>
  <c r="U10" i="45"/>
  <c r="J10" i="45"/>
  <c r="H10" i="45"/>
  <c r="C10" i="45"/>
  <c r="B10" i="45"/>
  <c r="V9" i="45"/>
  <c r="U9" i="45"/>
  <c r="J9" i="45"/>
  <c r="H9" i="45"/>
  <c r="C9" i="45"/>
  <c r="B9" i="45"/>
  <c r="V8" i="45"/>
  <c r="U8" i="45"/>
  <c r="J8" i="45"/>
  <c r="H8" i="45"/>
  <c r="C8" i="45"/>
  <c r="B8" i="45"/>
  <c r="T6" i="45"/>
  <c r="S6" i="45"/>
  <c r="R6" i="45"/>
  <c r="Q6" i="45"/>
  <c r="P6" i="45"/>
  <c r="O6" i="45"/>
  <c r="N6" i="45"/>
  <c r="M6" i="45"/>
  <c r="L6" i="45"/>
  <c r="K6" i="45"/>
  <c r="I6" i="45"/>
  <c r="G6" i="45"/>
  <c r="F6" i="45"/>
  <c r="J6" i="45" s="1"/>
  <c r="E6" i="45"/>
  <c r="D6" i="45"/>
  <c r="G1" i="45"/>
  <c r="E1" i="45"/>
  <c r="D1" i="45"/>
  <c r="R61" i="43"/>
  <c r="Q61" i="43"/>
  <c r="N61" i="43"/>
  <c r="M61" i="43"/>
  <c r="J61" i="43"/>
  <c r="I61" i="43"/>
  <c r="C61" i="43"/>
  <c r="B61" i="43"/>
  <c r="R60" i="43"/>
  <c r="Q60" i="43"/>
  <c r="N60" i="43"/>
  <c r="M60" i="43"/>
  <c r="J60" i="43"/>
  <c r="I60" i="43"/>
  <c r="C60" i="43"/>
  <c r="B60" i="43"/>
  <c r="R59" i="43"/>
  <c r="Q59" i="43"/>
  <c r="N59" i="43"/>
  <c r="M59" i="43"/>
  <c r="J59" i="43"/>
  <c r="I59" i="43"/>
  <c r="C59" i="43"/>
  <c r="B59" i="43"/>
  <c r="R58" i="43"/>
  <c r="Q58" i="43"/>
  <c r="N58" i="43"/>
  <c r="M58" i="43"/>
  <c r="J58" i="43"/>
  <c r="I58" i="43"/>
  <c r="C58" i="43"/>
  <c r="B58" i="43"/>
  <c r="R57" i="43"/>
  <c r="Q57" i="43"/>
  <c r="N57" i="43"/>
  <c r="M57" i="43"/>
  <c r="J57" i="43"/>
  <c r="I57" i="43"/>
  <c r="C57" i="43"/>
  <c r="B57" i="43"/>
  <c r="R56" i="43"/>
  <c r="Q56" i="43"/>
  <c r="N56" i="43"/>
  <c r="M56" i="43"/>
  <c r="J56" i="43"/>
  <c r="I56" i="43"/>
  <c r="C56" i="43"/>
  <c r="B56" i="43"/>
  <c r="R55" i="43"/>
  <c r="Q55" i="43"/>
  <c r="N55" i="43"/>
  <c r="M55" i="43"/>
  <c r="J55" i="43"/>
  <c r="I55" i="43"/>
  <c r="C55" i="43"/>
  <c r="B55" i="43"/>
  <c r="R54" i="43"/>
  <c r="Q54" i="43"/>
  <c r="N54" i="43"/>
  <c r="M54" i="43"/>
  <c r="J54" i="43"/>
  <c r="I54" i="43"/>
  <c r="C54" i="43"/>
  <c r="B54" i="43"/>
  <c r="R53" i="43"/>
  <c r="Q53" i="43"/>
  <c r="N53" i="43"/>
  <c r="M53" i="43"/>
  <c r="J53" i="43"/>
  <c r="I53" i="43"/>
  <c r="C53" i="43"/>
  <c r="B53" i="43"/>
  <c r="R52" i="43"/>
  <c r="Q52" i="43"/>
  <c r="N52" i="43"/>
  <c r="M52" i="43"/>
  <c r="J52" i="43"/>
  <c r="I52" i="43"/>
  <c r="C52" i="43"/>
  <c r="B52" i="43"/>
  <c r="R51" i="43"/>
  <c r="Q51" i="43"/>
  <c r="N51" i="43"/>
  <c r="M51" i="43"/>
  <c r="J51" i="43"/>
  <c r="I51" i="43"/>
  <c r="C51" i="43"/>
  <c r="B51" i="43"/>
  <c r="R50" i="43"/>
  <c r="Q50" i="43"/>
  <c r="N50" i="43"/>
  <c r="M50" i="43"/>
  <c r="J50" i="43"/>
  <c r="I50" i="43"/>
  <c r="C50" i="43"/>
  <c r="B50" i="43"/>
  <c r="R49" i="43"/>
  <c r="Q49" i="43"/>
  <c r="N49" i="43"/>
  <c r="M49" i="43"/>
  <c r="J49" i="43"/>
  <c r="I49" i="43"/>
  <c r="C49" i="43"/>
  <c r="B49" i="43"/>
  <c r="R48" i="43"/>
  <c r="Q48" i="43"/>
  <c r="N48" i="43"/>
  <c r="M48" i="43"/>
  <c r="J48" i="43"/>
  <c r="I48" i="43"/>
  <c r="C48" i="43"/>
  <c r="B48" i="43"/>
  <c r="R47" i="43"/>
  <c r="Q47" i="43"/>
  <c r="N47" i="43"/>
  <c r="M47" i="43"/>
  <c r="J47" i="43"/>
  <c r="I47" i="43"/>
  <c r="C47" i="43"/>
  <c r="B47" i="43"/>
  <c r="R46" i="43"/>
  <c r="Q46" i="43"/>
  <c r="N46" i="43"/>
  <c r="M46" i="43"/>
  <c r="J46" i="43"/>
  <c r="I46" i="43"/>
  <c r="C46" i="43"/>
  <c r="B46" i="43"/>
  <c r="R45" i="43"/>
  <c r="Q45" i="43"/>
  <c r="N45" i="43"/>
  <c r="M45" i="43"/>
  <c r="J45" i="43"/>
  <c r="I45" i="43"/>
  <c r="C45" i="43"/>
  <c r="B45" i="43"/>
  <c r="R44" i="43"/>
  <c r="Q44" i="43"/>
  <c r="N44" i="43"/>
  <c r="M44" i="43"/>
  <c r="J44" i="43"/>
  <c r="I44" i="43"/>
  <c r="C44" i="43"/>
  <c r="B44" i="43"/>
  <c r="R43" i="43"/>
  <c r="Q43" i="43"/>
  <c r="N43" i="43"/>
  <c r="M43" i="43"/>
  <c r="J43" i="43"/>
  <c r="I43" i="43"/>
  <c r="C43" i="43"/>
  <c r="B43" i="43"/>
  <c r="R42" i="43"/>
  <c r="Q42" i="43"/>
  <c r="N42" i="43"/>
  <c r="M42" i="43"/>
  <c r="J42" i="43"/>
  <c r="I42" i="43"/>
  <c r="C42" i="43"/>
  <c r="B42" i="43"/>
  <c r="R41" i="43"/>
  <c r="Q41" i="43"/>
  <c r="N41" i="43"/>
  <c r="M41" i="43"/>
  <c r="J41" i="43"/>
  <c r="I41" i="43"/>
  <c r="C41" i="43"/>
  <c r="B41" i="43"/>
  <c r="R40" i="43"/>
  <c r="Q40" i="43"/>
  <c r="N40" i="43"/>
  <c r="M40" i="43"/>
  <c r="J40" i="43"/>
  <c r="I40" i="43"/>
  <c r="C40" i="43"/>
  <c r="B40" i="43"/>
  <c r="R39" i="43"/>
  <c r="Q39" i="43"/>
  <c r="N39" i="43"/>
  <c r="M39" i="43"/>
  <c r="J39" i="43"/>
  <c r="I39" i="43"/>
  <c r="C39" i="43"/>
  <c r="B39" i="43"/>
  <c r="R38" i="43"/>
  <c r="Q38" i="43"/>
  <c r="N38" i="43"/>
  <c r="M38" i="43"/>
  <c r="J38" i="43"/>
  <c r="I38" i="43"/>
  <c r="C38" i="43"/>
  <c r="B38" i="43"/>
  <c r="R37" i="43"/>
  <c r="Q37" i="43"/>
  <c r="N37" i="43"/>
  <c r="M37" i="43"/>
  <c r="J37" i="43"/>
  <c r="I37" i="43"/>
  <c r="C37" i="43"/>
  <c r="B37" i="43"/>
  <c r="R36" i="43"/>
  <c r="Q36" i="43"/>
  <c r="N36" i="43"/>
  <c r="M36" i="43"/>
  <c r="J36" i="43"/>
  <c r="I36" i="43"/>
  <c r="C36" i="43"/>
  <c r="B36" i="43"/>
  <c r="R35" i="43"/>
  <c r="Q35" i="43"/>
  <c r="N35" i="43"/>
  <c r="M35" i="43"/>
  <c r="J35" i="43"/>
  <c r="I35" i="43"/>
  <c r="C35" i="43"/>
  <c r="B35" i="43"/>
  <c r="R34" i="43"/>
  <c r="Q34" i="43"/>
  <c r="N34" i="43"/>
  <c r="M34" i="43"/>
  <c r="J34" i="43"/>
  <c r="I34" i="43"/>
  <c r="C34" i="43"/>
  <c r="B34" i="43"/>
  <c r="R33" i="43"/>
  <c r="Q33" i="43"/>
  <c r="N33" i="43"/>
  <c r="M33" i="43"/>
  <c r="J33" i="43"/>
  <c r="I33" i="43"/>
  <c r="C33" i="43"/>
  <c r="B33" i="43"/>
  <c r="R32" i="43"/>
  <c r="Q32" i="43"/>
  <c r="N32" i="43"/>
  <c r="M32" i="43"/>
  <c r="J32" i="43"/>
  <c r="I32" i="43"/>
  <c r="C32" i="43"/>
  <c r="B32" i="43"/>
  <c r="R31" i="43"/>
  <c r="Q31" i="43"/>
  <c r="N31" i="43"/>
  <c r="M31" i="43"/>
  <c r="J31" i="43"/>
  <c r="I31" i="43"/>
  <c r="C31" i="43"/>
  <c r="B31" i="43"/>
  <c r="R30" i="43"/>
  <c r="Q30" i="43"/>
  <c r="N30" i="43"/>
  <c r="M30" i="43"/>
  <c r="J30" i="43"/>
  <c r="I30" i="43"/>
  <c r="C30" i="43"/>
  <c r="B30" i="43"/>
  <c r="R29" i="43"/>
  <c r="Q29" i="43"/>
  <c r="N29" i="43"/>
  <c r="M29" i="43"/>
  <c r="J29" i="43"/>
  <c r="I29" i="43"/>
  <c r="C29" i="43"/>
  <c r="B29" i="43"/>
  <c r="R28" i="43"/>
  <c r="Q28" i="43"/>
  <c r="N28" i="43"/>
  <c r="M28" i="43"/>
  <c r="J28" i="43"/>
  <c r="I28" i="43"/>
  <c r="C28" i="43"/>
  <c r="B28" i="43"/>
  <c r="R27" i="43"/>
  <c r="Q27" i="43"/>
  <c r="N27" i="43"/>
  <c r="M27" i="43"/>
  <c r="J27" i="43"/>
  <c r="I27" i="43"/>
  <c r="C27" i="43"/>
  <c r="B27" i="43"/>
  <c r="R26" i="43"/>
  <c r="Q26" i="43"/>
  <c r="N26" i="43"/>
  <c r="M26" i="43"/>
  <c r="J26" i="43"/>
  <c r="I26" i="43"/>
  <c r="C26" i="43"/>
  <c r="B26" i="43"/>
  <c r="R25" i="43"/>
  <c r="Q25" i="43"/>
  <c r="N25" i="43"/>
  <c r="M25" i="43"/>
  <c r="J25" i="43"/>
  <c r="I25" i="43"/>
  <c r="C25" i="43"/>
  <c r="B25" i="43"/>
  <c r="R24" i="43"/>
  <c r="Q24" i="43"/>
  <c r="N24" i="43"/>
  <c r="M24" i="43"/>
  <c r="J24" i="43"/>
  <c r="I24" i="43"/>
  <c r="C24" i="43"/>
  <c r="B24" i="43"/>
  <c r="R23" i="43"/>
  <c r="Q23" i="43"/>
  <c r="N23" i="43"/>
  <c r="M23" i="43"/>
  <c r="J23" i="43"/>
  <c r="I23" i="43"/>
  <c r="C23" i="43"/>
  <c r="B23" i="43"/>
  <c r="R22" i="43"/>
  <c r="Q22" i="43"/>
  <c r="N22" i="43"/>
  <c r="M22" i="43"/>
  <c r="J22" i="43"/>
  <c r="I22" i="43"/>
  <c r="C22" i="43"/>
  <c r="B22" i="43"/>
  <c r="R21" i="43"/>
  <c r="Q21" i="43"/>
  <c r="N21" i="43"/>
  <c r="M21" i="43"/>
  <c r="J21" i="43"/>
  <c r="I21" i="43"/>
  <c r="C21" i="43"/>
  <c r="B21" i="43"/>
  <c r="R20" i="43"/>
  <c r="Q20" i="43"/>
  <c r="N20" i="43"/>
  <c r="M20" i="43"/>
  <c r="J20" i="43"/>
  <c r="I20" i="43"/>
  <c r="C20" i="43"/>
  <c r="B20" i="43"/>
  <c r="R19" i="43"/>
  <c r="Q19" i="43"/>
  <c r="N19" i="43"/>
  <c r="M19" i="43"/>
  <c r="J19" i="43"/>
  <c r="I19" i="43"/>
  <c r="C19" i="43"/>
  <c r="B19" i="43"/>
  <c r="R18" i="43"/>
  <c r="Q18" i="43"/>
  <c r="N18" i="43"/>
  <c r="M18" i="43"/>
  <c r="J18" i="43"/>
  <c r="I18" i="43"/>
  <c r="C18" i="43"/>
  <c r="B18" i="43"/>
  <c r="R17" i="43"/>
  <c r="Q17" i="43"/>
  <c r="N17" i="43"/>
  <c r="M17" i="43"/>
  <c r="J17" i="43"/>
  <c r="I17" i="43"/>
  <c r="C17" i="43"/>
  <c r="B17" i="43"/>
  <c r="R16" i="43"/>
  <c r="Q16" i="43"/>
  <c r="N16" i="43"/>
  <c r="M16" i="43"/>
  <c r="J16" i="43"/>
  <c r="I16" i="43"/>
  <c r="C16" i="43"/>
  <c r="B16" i="43"/>
  <c r="R15" i="43"/>
  <c r="Q15" i="43"/>
  <c r="N15" i="43"/>
  <c r="M15" i="43"/>
  <c r="J15" i="43"/>
  <c r="I15" i="43"/>
  <c r="C15" i="43"/>
  <c r="B15" i="43"/>
  <c r="R14" i="43"/>
  <c r="Q14" i="43"/>
  <c r="N14" i="43"/>
  <c r="M14" i="43"/>
  <c r="J14" i="43"/>
  <c r="I14" i="43"/>
  <c r="C14" i="43"/>
  <c r="B14" i="43"/>
  <c r="R13" i="43"/>
  <c r="Q13" i="43"/>
  <c r="N13" i="43"/>
  <c r="M13" i="43"/>
  <c r="J13" i="43"/>
  <c r="I13" i="43"/>
  <c r="C13" i="43"/>
  <c r="B13" i="43"/>
  <c r="R12" i="43"/>
  <c r="Q12" i="43"/>
  <c r="N12" i="43"/>
  <c r="M12" i="43"/>
  <c r="J12" i="43"/>
  <c r="I12" i="43"/>
  <c r="C12" i="43"/>
  <c r="B12" i="43"/>
  <c r="R11" i="43"/>
  <c r="Q11" i="43"/>
  <c r="N11" i="43"/>
  <c r="M11" i="43"/>
  <c r="J11" i="43"/>
  <c r="I11" i="43"/>
  <c r="C11" i="43"/>
  <c r="B11" i="43"/>
  <c r="R10" i="43"/>
  <c r="Q10" i="43"/>
  <c r="N10" i="43"/>
  <c r="M10" i="43"/>
  <c r="J10" i="43"/>
  <c r="I10" i="43"/>
  <c r="C10" i="43"/>
  <c r="B10" i="43"/>
  <c r="R9" i="43"/>
  <c r="Q9" i="43"/>
  <c r="N9" i="43"/>
  <c r="M9" i="43"/>
  <c r="J9" i="43"/>
  <c r="I9" i="43"/>
  <c r="C9" i="43"/>
  <c r="B9" i="43"/>
  <c r="R8" i="43"/>
  <c r="Q8" i="43"/>
  <c r="N8" i="43"/>
  <c r="M8" i="43"/>
  <c r="J8" i="43"/>
  <c r="I8" i="43"/>
  <c r="C8" i="43"/>
  <c r="R7" i="43" s="1"/>
  <c r="B8" i="43"/>
  <c r="P6" i="43"/>
  <c r="O6" i="43"/>
  <c r="M6" i="43"/>
  <c r="L6" i="43"/>
  <c r="N6" i="43" s="1"/>
  <c r="K6" i="43"/>
  <c r="H6" i="43"/>
  <c r="G6" i="43"/>
  <c r="F6" i="43"/>
  <c r="E6" i="43"/>
  <c r="I6" i="43" s="1"/>
  <c r="D6" i="43"/>
  <c r="G1" i="43"/>
  <c r="E1" i="43"/>
  <c r="D1" i="43"/>
  <c r="AD61" i="24"/>
  <c r="AE61" i="24" s="1"/>
  <c r="AA61" i="24"/>
  <c r="AB61" i="24" s="1"/>
  <c r="X61" i="24"/>
  <c r="V61" i="24"/>
  <c r="T61" i="24"/>
  <c r="S61" i="24"/>
  <c r="R61" i="24"/>
  <c r="Q61" i="24"/>
  <c r="O61" i="24"/>
  <c r="P61" i="24" s="1"/>
  <c r="N61" i="24"/>
  <c r="L61" i="24"/>
  <c r="M61" i="24" s="1"/>
  <c r="C61" i="24"/>
  <c r="X60" i="24"/>
  <c r="V60" i="24"/>
  <c r="T60" i="24"/>
  <c r="S60" i="24"/>
  <c r="R60" i="24"/>
  <c r="Q60" i="24"/>
  <c r="O60" i="24"/>
  <c r="P60" i="24" s="1"/>
  <c r="N60" i="24"/>
  <c r="L60" i="24"/>
  <c r="C60" i="24"/>
  <c r="X59" i="24"/>
  <c r="V59" i="24"/>
  <c r="T59" i="24"/>
  <c r="S59" i="24"/>
  <c r="R59" i="24"/>
  <c r="Q59" i="24"/>
  <c r="O59" i="24"/>
  <c r="AF59" i="24" s="1"/>
  <c r="N59" i="24"/>
  <c r="L59" i="24"/>
  <c r="C59" i="24"/>
  <c r="X58" i="24"/>
  <c r="V58" i="24"/>
  <c r="T58" i="24"/>
  <c r="S58" i="24"/>
  <c r="R58" i="24"/>
  <c r="Q58" i="24"/>
  <c r="O58" i="24"/>
  <c r="AF58" i="24" s="1"/>
  <c r="N58" i="24"/>
  <c r="L58" i="24"/>
  <c r="M58" i="24" s="1"/>
  <c r="C58" i="24"/>
  <c r="X57" i="24"/>
  <c r="V57" i="24"/>
  <c r="T57" i="24"/>
  <c r="S57" i="24"/>
  <c r="R57" i="24"/>
  <c r="Q57" i="24"/>
  <c r="O57" i="24"/>
  <c r="P57" i="24" s="1"/>
  <c r="N57" i="24"/>
  <c r="L57" i="24"/>
  <c r="M57" i="24" s="1"/>
  <c r="C57" i="24"/>
  <c r="X56" i="24"/>
  <c r="V56" i="24"/>
  <c r="T56" i="24"/>
  <c r="S56" i="24"/>
  <c r="R56" i="24"/>
  <c r="Q56" i="24"/>
  <c r="O56" i="24"/>
  <c r="P56" i="24" s="1"/>
  <c r="N56" i="24"/>
  <c r="L56" i="24"/>
  <c r="C56" i="24"/>
  <c r="X55" i="24"/>
  <c r="V55" i="24"/>
  <c r="T55" i="24"/>
  <c r="S55" i="24"/>
  <c r="R55" i="24"/>
  <c r="Q55" i="24"/>
  <c r="O55" i="24"/>
  <c r="AF55" i="24" s="1"/>
  <c r="N55" i="24"/>
  <c r="L55" i="24"/>
  <c r="C55" i="24"/>
  <c r="X54" i="24"/>
  <c r="V54" i="24"/>
  <c r="T54" i="24"/>
  <c r="S54" i="24"/>
  <c r="R54" i="24"/>
  <c r="Q54" i="24"/>
  <c r="O54" i="24"/>
  <c r="AF54" i="24" s="1"/>
  <c r="N54" i="24"/>
  <c r="L54" i="24"/>
  <c r="M54" i="24" s="1"/>
  <c r="C54" i="24"/>
  <c r="X53" i="24"/>
  <c r="V53" i="24"/>
  <c r="T53" i="24"/>
  <c r="S53" i="24"/>
  <c r="R53" i="24"/>
  <c r="Q53" i="24"/>
  <c r="O53" i="24"/>
  <c r="P53" i="24" s="1"/>
  <c r="N53" i="24"/>
  <c r="L53" i="24"/>
  <c r="M53" i="24" s="1"/>
  <c r="C53" i="24"/>
  <c r="AA52" i="24"/>
  <c r="AB52" i="24" s="1"/>
  <c r="X52" i="24"/>
  <c r="V52" i="24"/>
  <c r="T52" i="24"/>
  <c r="S52" i="24"/>
  <c r="R52" i="24"/>
  <c r="Q52" i="24"/>
  <c r="O52" i="24"/>
  <c r="P52" i="24" s="1"/>
  <c r="N52" i="24"/>
  <c r="L52" i="24"/>
  <c r="C52" i="24"/>
  <c r="AA51" i="24"/>
  <c r="AB51" i="24" s="1"/>
  <c r="X51" i="24"/>
  <c r="AD51" i="24" s="1"/>
  <c r="AE51" i="24" s="1"/>
  <c r="V51" i="24"/>
  <c r="T51" i="24"/>
  <c r="S51" i="24"/>
  <c r="R51" i="24"/>
  <c r="Q51" i="24"/>
  <c r="O51" i="24"/>
  <c r="P51" i="24" s="1"/>
  <c r="N51" i="24"/>
  <c r="M50" i="26" s="1"/>
  <c r="L51" i="24"/>
  <c r="J51" i="24" s="1"/>
  <c r="C51" i="24"/>
  <c r="AA50" i="24"/>
  <c r="AB50" i="24" s="1"/>
  <c r="X50" i="24"/>
  <c r="AD50" i="24" s="1"/>
  <c r="AE50" i="24" s="1"/>
  <c r="V50" i="24"/>
  <c r="T50" i="24"/>
  <c r="S50" i="24"/>
  <c r="R50" i="24"/>
  <c r="Q50" i="24"/>
  <c r="O50" i="24"/>
  <c r="AF50" i="24" s="1"/>
  <c r="N50" i="24"/>
  <c r="L50" i="24"/>
  <c r="M50" i="24" s="1"/>
  <c r="C50" i="24"/>
  <c r="AA49" i="24"/>
  <c r="AB49" i="24" s="1"/>
  <c r="X49" i="24"/>
  <c r="AD49" i="24" s="1"/>
  <c r="AE49" i="24" s="1"/>
  <c r="V49" i="24"/>
  <c r="T49" i="24"/>
  <c r="S49" i="24"/>
  <c r="R49" i="24"/>
  <c r="Q49" i="24"/>
  <c r="O49" i="24"/>
  <c r="P49" i="24" s="1"/>
  <c r="N49" i="24"/>
  <c r="L49" i="24"/>
  <c r="J49" i="24" s="1"/>
  <c r="C49" i="24"/>
  <c r="AA48" i="24"/>
  <c r="AB48" i="24" s="1"/>
  <c r="X48" i="24"/>
  <c r="AD48" i="24" s="1"/>
  <c r="AE48" i="24" s="1"/>
  <c r="V48" i="24"/>
  <c r="T48" i="24"/>
  <c r="S48" i="24"/>
  <c r="R48" i="24"/>
  <c r="Q48" i="24"/>
  <c r="O48" i="24"/>
  <c r="P48" i="24" s="1"/>
  <c r="N48" i="24"/>
  <c r="L48" i="24"/>
  <c r="C48" i="24"/>
  <c r="AA47" i="24"/>
  <c r="AB47" i="24" s="1"/>
  <c r="X47" i="24"/>
  <c r="AD47" i="24" s="1"/>
  <c r="AE47" i="24" s="1"/>
  <c r="V47" i="24"/>
  <c r="T47" i="24"/>
  <c r="S47" i="24"/>
  <c r="R47" i="24"/>
  <c r="Q47" i="24"/>
  <c r="O47" i="24"/>
  <c r="P47" i="24" s="1"/>
  <c r="N47" i="24"/>
  <c r="L47" i="24"/>
  <c r="J47" i="24" s="1"/>
  <c r="C47" i="24"/>
  <c r="AA46" i="24"/>
  <c r="AB46" i="24" s="1"/>
  <c r="X46" i="24"/>
  <c r="AD46" i="24" s="1"/>
  <c r="AE46" i="24" s="1"/>
  <c r="V46" i="24"/>
  <c r="T46" i="24"/>
  <c r="S46" i="24"/>
  <c r="R46" i="24"/>
  <c r="Q46" i="24"/>
  <c r="O46" i="24"/>
  <c r="AF46" i="24" s="1"/>
  <c r="N46" i="24"/>
  <c r="L46" i="24"/>
  <c r="J46" i="24" s="1"/>
  <c r="C46" i="24"/>
  <c r="AA45" i="24"/>
  <c r="AB45" i="24" s="1"/>
  <c r="X45" i="24"/>
  <c r="AD45" i="24" s="1"/>
  <c r="AE45" i="24" s="1"/>
  <c r="V45" i="24"/>
  <c r="T45" i="24"/>
  <c r="S45" i="24"/>
  <c r="R45" i="24"/>
  <c r="Q45" i="24"/>
  <c r="O45" i="24"/>
  <c r="P45" i="24" s="1"/>
  <c r="N45" i="24"/>
  <c r="L45" i="24"/>
  <c r="M45" i="24" s="1"/>
  <c r="C45" i="24"/>
  <c r="AA44" i="24"/>
  <c r="AB44" i="24" s="1"/>
  <c r="X44" i="24"/>
  <c r="AD44" i="24" s="1"/>
  <c r="AE44" i="24" s="1"/>
  <c r="V44" i="24"/>
  <c r="T44" i="24"/>
  <c r="S44" i="24"/>
  <c r="R44" i="24"/>
  <c r="Q44" i="24"/>
  <c r="O44" i="24"/>
  <c r="P44" i="24" s="1"/>
  <c r="N44" i="24"/>
  <c r="L44" i="24"/>
  <c r="J44" i="24" s="1"/>
  <c r="C44" i="24"/>
  <c r="AA43" i="24"/>
  <c r="AB43" i="24" s="1"/>
  <c r="X43" i="24"/>
  <c r="AD43" i="24" s="1"/>
  <c r="AE43" i="24" s="1"/>
  <c r="V43" i="24"/>
  <c r="T43" i="24"/>
  <c r="S43" i="24"/>
  <c r="R43" i="24"/>
  <c r="Q43" i="24"/>
  <c r="O43" i="24"/>
  <c r="P43" i="24" s="1"/>
  <c r="N43" i="24"/>
  <c r="L43" i="24"/>
  <c r="J43" i="24" s="1"/>
  <c r="C43" i="24"/>
  <c r="AA42" i="24"/>
  <c r="AB42" i="24" s="1"/>
  <c r="X42" i="24"/>
  <c r="AD42" i="24" s="1"/>
  <c r="AE42" i="24" s="1"/>
  <c r="V42" i="24"/>
  <c r="T42" i="24"/>
  <c r="S42" i="24"/>
  <c r="R42" i="24"/>
  <c r="Q42" i="24"/>
  <c r="O42" i="24"/>
  <c r="AF42" i="24" s="1"/>
  <c r="N42" i="24"/>
  <c r="L42" i="24"/>
  <c r="M42" i="24" s="1"/>
  <c r="C42" i="24"/>
  <c r="AA41" i="24"/>
  <c r="AB41" i="24" s="1"/>
  <c r="X41" i="24"/>
  <c r="AD41" i="24" s="1"/>
  <c r="AE41" i="24" s="1"/>
  <c r="V41" i="24"/>
  <c r="T41" i="24"/>
  <c r="S41" i="24"/>
  <c r="R41" i="24"/>
  <c r="Q41" i="24"/>
  <c r="O41" i="24"/>
  <c r="P41" i="24" s="1"/>
  <c r="N41" i="24"/>
  <c r="L41" i="24"/>
  <c r="C41" i="24"/>
  <c r="AA40" i="24"/>
  <c r="AB40" i="24" s="1"/>
  <c r="X40" i="24"/>
  <c r="AD40" i="24" s="1"/>
  <c r="AE40" i="24" s="1"/>
  <c r="V40" i="24"/>
  <c r="T40" i="24"/>
  <c r="S40" i="24"/>
  <c r="R40" i="24"/>
  <c r="Q40" i="24"/>
  <c r="O40" i="24"/>
  <c r="P40" i="24" s="1"/>
  <c r="N40" i="24"/>
  <c r="L40" i="24"/>
  <c r="C40" i="24"/>
  <c r="AA39" i="24"/>
  <c r="AB39" i="24" s="1"/>
  <c r="X39" i="24"/>
  <c r="AD39" i="24" s="1"/>
  <c r="AE39" i="24" s="1"/>
  <c r="V39" i="24"/>
  <c r="T39" i="24"/>
  <c r="S39" i="24"/>
  <c r="R39" i="24"/>
  <c r="Q39" i="24"/>
  <c r="O39" i="24"/>
  <c r="P39" i="24" s="1"/>
  <c r="N39" i="24"/>
  <c r="L39" i="24"/>
  <c r="J39" i="24" s="1"/>
  <c r="C39" i="24"/>
  <c r="AA38" i="24"/>
  <c r="AB38" i="24" s="1"/>
  <c r="X38" i="24"/>
  <c r="AD38" i="24" s="1"/>
  <c r="AE38" i="24" s="1"/>
  <c r="V38" i="24"/>
  <c r="T38" i="24"/>
  <c r="S38" i="24"/>
  <c r="R38" i="24"/>
  <c r="Q38" i="24"/>
  <c r="O38" i="24"/>
  <c r="AF38" i="24" s="1"/>
  <c r="N38" i="24"/>
  <c r="L38" i="24"/>
  <c r="J38" i="24" s="1"/>
  <c r="C38" i="24"/>
  <c r="AA37" i="24"/>
  <c r="AB37" i="24" s="1"/>
  <c r="X37" i="24"/>
  <c r="AD37" i="24" s="1"/>
  <c r="AE37" i="24" s="1"/>
  <c r="V37" i="24"/>
  <c r="T37" i="24"/>
  <c r="S37" i="24"/>
  <c r="R37" i="24"/>
  <c r="Q37" i="24"/>
  <c r="O37" i="24"/>
  <c r="P37" i="24" s="1"/>
  <c r="N37" i="24"/>
  <c r="L37" i="24"/>
  <c r="M37" i="24" s="1"/>
  <c r="C37" i="24"/>
  <c r="AA36" i="24"/>
  <c r="AB36" i="24" s="1"/>
  <c r="X36" i="24"/>
  <c r="AD36" i="24" s="1"/>
  <c r="AE36" i="24" s="1"/>
  <c r="V36" i="24"/>
  <c r="T36" i="24"/>
  <c r="S36" i="24"/>
  <c r="R36" i="24"/>
  <c r="Q36" i="24"/>
  <c r="O36" i="24"/>
  <c r="P36" i="24" s="1"/>
  <c r="N36" i="24"/>
  <c r="L36" i="24"/>
  <c r="J36" i="24" s="1"/>
  <c r="C36" i="24"/>
  <c r="AA35" i="24"/>
  <c r="AB35" i="24" s="1"/>
  <c r="X35" i="24"/>
  <c r="AD35" i="24" s="1"/>
  <c r="AE35" i="24" s="1"/>
  <c r="V35" i="24"/>
  <c r="T35" i="24"/>
  <c r="S35" i="24"/>
  <c r="R35" i="24"/>
  <c r="Q35" i="24"/>
  <c r="O35" i="24"/>
  <c r="AF35" i="24" s="1"/>
  <c r="N35" i="24"/>
  <c r="L35" i="24"/>
  <c r="J35" i="24" s="1"/>
  <c r="C35" i="24"/>
  <c r="AA34" i="24"/>
  <c r="AB34" i="24" s="1"/>
  <c r="X34" i="24"/>
  <c r="AD34" i="24" s="1"/>
  <c r="AE34" i="24" s="1"/>
  <c r="V34" i="24"/>
  <c r="T34" i="24"/>
  <c r="S34" i="24"/>
  <c r="R34" i="24"/>
  <c r="Q34" i="24"/>
  <c r="O34" i="24"/>
  <c r="AF34" i="24" s="1"/>
  <c r="N34" i="24"/>
  <c r="L34" i="24"/>
  <c r="M34" i="24" s="1"/>
  <c r="C34" i="24"/>
  <c r="AA33" i="24"/>
  <c r="AB33" i="24" s="1"/>
  <c r="X33" i="24"/>
  <c r="AD33" i="24" s="1"/>
  <c r="AE33" i="24" s="1"/>
  <c r="V33" i="24"/>
  <c r="T33" i="24"/>
  <c r="S33" i="24"/>
  <c r="R33" i="24"/>
  <c r="Q33" i="24"/>
  <c r="O33" i="24"/>
  <c r="N33" i="24"/>
  <c r="L33" i="24"/>
  <c r="M33" i="24" s="1"/>
  <c r="C33" i="24"/>
  <c r="AA32" i="24"/>
  <c r="AB32" i="24" s="1"/>
  <c r="X32" i="24"/>
  <c r="AD32" i="24" s="1"/>
  <c r="AE32" i="24" s="1"/>
  <c r="V32" i="24"/>
  <c r="T32" i="24"/>
  <c r="S32" i="24"/>
  <c r="R32" i="24"/>
  <c r="Q32" i="24"/>
  <c r="O32" i="24"/>
  <c r="P32" i="24" s="1"/>
  <c r="N32" i="24"/>
  <c r="L32" i="24"/>
  <c r="J32" i="24" s="1"/>
  <c r="C32" i="24"/>
  <c r="AA31" i="24"/>
  <c r="AB31" i="24" s="1"/>
  <c r="X31" i="24"/>
  <c r="AD31" i="24" s="1"/>
  <c r="AE31" i="24" s="1"/>
  <c r="V31" i="24"/>
  <c r="T31" i="24"/>
  <c r="S31" i="24"/>
  <c r="R31" i="24"/>
  <c r="Q31" i="24"/>
  <c r="O31" i="24"/>
  <c r="P31" i="24" s="1"/>
  <c r="N31" i="24"/>
  <c r="L31" i="24"/>
  <c r="C31" i="24"/>
  <c r="AA30" i="24"/>
  <c r="AB30" i="24" s="1"/>
  <c r="X30" i="24"/>
  <c r="AD30" i="24" s="1"/>
  <c r="AE30" i="24" s="1"/>
  <c r="V30" i="24"/>
  <c r="T30" i="24"/>
  <c r="S30" i="24"/>
  <c r="R30" i="24"/>
  <c r="Q30" i="24"/>
  <c r="O30" i="24"/>
  <c r="AF30" i="24" s="1"/>
  <c r="N30" i="24"/>
  <c r="L30" i="24"/>
  <c r="C30" i="24"/>
  <c r="AA29" i="24"/>
  <c r="AB29" i="24" s="1"/>
  <c r="X29" i="24"/>
  <c r="AD29" i="24" s="1"/>
  <c r="AE29" i="24" s="1"/>
  <c r="V29" i="24"/>
  <c r="T29" i="24"/>
  <c r="S29" i="24"/>
  <c r="R29" i="24"/>
  <c r="Q29" i="24"/>
  <c r="O29" i="24"/>
  <c r="N29" i="24"/>
  <c r="L29" i="24"/>
  <c r="J29" i="24" s="1"/>
  <c r="C29" i="24"/>
  <c r="AA28" i="24"/>
  <c r="AB28" i="24" s="1"/>
  <c r="X28" i="24"/>
  <c r="AD28" i="24" s="1"/>
  <c r="AE28" i="24" s="1"/>
  <c r="V28" i="24"/>
  <c r="T28" i="24"/>
  <c r="S28" i="24"/>
  <c r="R28" i="24"/>
  <c r="Q28" i="24"/>
  <c r="O28" i="24"/>
  <c r="P28" i="24" s="1"/>
  <c r="N28" i="24"/>
  <c r="L28" i="24"/>
  <c r="J28" i="24" s="1"/>
  <c r="C28" i="24"/>
  <c r="AA27" i="24"/>
  <c r="AB27" i="24" s="1"/>
  <c r="X27" i="24"/>
  <c r="AD27" i="24" s="1"/>
  <c r="AE27" i="24" s="1"/>
  <c r="V27" i="24"/>
  <c r="T27" i="24"/>
  <c r="S27" i="24"/>
  <c r="R27" i="24"/>
  <c r="Q27" i="24"/>
  <c r="O27" i="24"/>
  <c r="P27" i="24" s="1"/>
  <c r="N27" i="24"/>
  <c r="L27" i="24"/>
  <c r="C27" i="24"/>
  <c r="AA26" i="24"/>
  <c r="AB26" i="24" s="1"/>
  <c r="X26" i="24"/>
  <c r="AD26" i="24" s="1"/>
  <c r="AE26" i="24" s="1"/>
  <c r="V26" i="24"/>
  <c r="T26" i="24"/>
  <c r="S26" i="24"/>
  <c r="R26" i="24"/>
  <c r="Q26" i="24"/>
  <c r="O26" i="24"/>
  <c r="AF26" i="24" s="1"/>
  <c r="N26" i="24"/>
  <c r="L26" i="24"/>
  <c r="C26" i="24"/>
  <c r="AA25" i="24"/>
  <c r="AB25" i="24" s="1"/>
  <c r="X25" i="24"/>
  <c r="AD25" i="24" s="1"/>
  <c r="AE25" i="24" s="1"/>
  <c r="V25" i="24"/>
  <c r="T25" i="24"/>
  <c r="S25" i="24"/>
  <c r="R25" i="24"/>
  <c r="Q25" i="24"/>
  <c r="O25" i="24"/>
  <c r="P25" i="24" s="1"/>
  <c r="N25" i="24"/>
  <c r="L25" i="24"/>
  <c r="C25" i="24"/>
  <c r="AA24" i="24"/>
  <c r="AB24" i="24" s="1"/>
  <c r="X24" i="24"/>
  <c r="AD24" i="24" s="1"/>
  <c r="AE24" i="24" s="1"/>
  <c r="V24" i="24"/>
  <c r="T24" i="24"/>
  <c r="S24" i="24"/>
  <c r="R24" i="24"/>
  <c r="Q24" i="24"/>
  <c r="O24" i="24"/>
  <c r="AF24" i="24" s="1"/>
  <c r="N24" i="24"/>
  <c r="L24" i="24"/>
  <c r="C24" i="24"/>
  <c r="AA23" i="24"/>
  <c r="AB23" i="24" s="1"/>
  <c r="X23" i="24"/>
  <c r="AD23" i="24" s="1"/>
  <c r="AE23" i="24" s="1"/>
  <c r="V23" i="24"/>
  <c r="T23" i="24"/>
  <c r="S23" i="24"/>
  <c r="R23" i="24"/>
  <c r="Q23" i="24"/>
  <c r="O23" i="24"/>
  <c r="AF23" i="24" s="1"/>
  <c r="N23" i="24"/>
  <c r="L23" i="24"/>
  <c r="M23" i="24" s="1"/>
  <c r="C23" i="24"/>
  <c r="AA22" i="24"/>
  <c r="AB22" i="24" s="1"/>
  <c r="X22" i="24"/>
  <c r="AD22" i="24" s="1"/>
  <c r="AE22" i="24" s="1"/>
  <c r="V22" i="24"/>
  <c r="T22" i="24"/>
  <c r="S22" i="24"/>
  <c r="R22" i="24"/>
  <c r="Q22" i="24"/>
  <c r="O22" i="24"/>
  <c r="AF22" i="24" s="1"/>
  <c r="N22" i="24"/>
  <c r="L22" i="24"/>
  <c r="J22" i="24" s="1"/>
  <c r="C22" i="24"/>
  <c r="AA21" i="24"/>
  <c r="AB21" i="24" s="1"/>
  <c r="X21" i="24"/>
  <c r="AD21" i="24" s="1"/>
  <c r="AE21" i="24" s="1"/>
  <c r="V21" i="24"/>
  <c r="T21" i="24"/>
  <c r="S21" i="24"/>
  <c r="R21" i="24"/>
  <c r="Q21" i="24"/>
  <c r="O21" i="24"/>
  <c r="P21" i="24" s="1"/>
  <c r="N21" i="24"/>
  <c r="L21" i="24"/>
  <c r="M21" i="24" s="1"/>
  <c r="C21" i="24"/>
  <c r="AA20" i="24"/>
  <c r="AB20" i="24" s="1"/>
  <c r="X20" i="24"/>
  <c r="AD20" i="24" s="1"/>
  <c r="AE20" i="24" s="1"/>
  <c r="V20" i="24"/>
  <c r="T20" i="24"/>
  <c r="S20" i="24"/>
  <c r="R20" i="24"/>
  <c r="Q20" i="24"/>
  <c r="O20" i="24"/>
  <c r="P20" i="24" s="1"/>
  <c r="N20" i="24"/>
  <c r="L20" i="24"/>
  <c r="J20" i="24" s="1"/>
  <c r="C20" i="24"/>
  <c r="AA19" i="24"/>
  <c r="AB19" i="24" s="1"/>
  <c r="X19" i="24"/>
  <c r="AD19" i="24" s="1"/>
  <c r="AE19" i="24" s="1"/>
  <c r="V19" i="24"/>
  <c r="T19" i="24"/>
  <c r="S19" i="24"/>
  <c r="R19" i="24"/>
  <c r="Q19" i="24"/>
  <c r="O19" i="24"/>
  <c r="P19" i="24" s="1"/>
  <c r="N19" i="24"/>
  <c r="L19" i="24"/>
  <c r="C19" i="24"/>
  <c r="AA18" i="24"/>
  <c r="AB18" i="24" s="1"/>
  <c r="X18" i="24"/>
  <c r="AD18" i="24" s="1"/>
  <c r="AE18" i="24" s="1"/>
  <c r="V18" i="24"/>
  <c r="T18" i="24"/>
  <c r="S18" i="24"/>
  <c r="R18" i="24"/>
  <c r="Q18" i="24"/>
  <c r="O18" i="24"/>
  <c r="AF18" i="24" s="1"/>
  <c r="N18" i="24"/>
  <c r="L18" i="24"/>
  <c r="J18" i="24" s="1"/>
  <c r="C18" i="24"/>
  <c r="AA17" i="24"/>
  <c r="AB17" i="24" s="1"/>
  <c r="X17" i="24"/>
  <c r="AD17" i="24" s="1"/>
  <c r="AE17" i="24" s="1"/>
  <c r="V17" i="24"/>
  <c r="T17" i="24"/>
  <c r="S17" i="24"/>
  <c r="R17" i="24"/>
  <c r="Q17" i="24"/>
  <c r="O17" i="24"/>
  <c r="P17" i="24" s="1"/>
  <c r="N17" i="24"/>
  <c r="L17" i="24"/>
  <c r="J17" i="24" s="1"/>
  <c r="C17" i="24"/>
  <c r="AA16" i="24"/>
  <c r="AB16" i="24" s="1"/>
  <c r="X16" i="24"/>
  <c r="AD16" i="24" s="1"/>
  <c r="AE16" i="24" s="1"/>
  <c r="V16" i="24"/>
  <c r="T16" i="24"/>
  <c r="S16" i="24"/>
  <c r="R16" i="24"/>
  <c r="Q16" i="24"/>
  <c r="O16" i="24"/>
  <c r="P16" i="24" s="1"/>
  <c r="N16" i="24"/>
  <c r="L16" i="24"/>
  <c r="J16" i="24" s="1"/>
  <c r="C16" i="24"/>
  <c r="AA15" i="24"/>
  <c r="AB15" i="24" s="1"/>
  <c r="X15" i="24"/>
  <c r="AD15" i="24" s="1"/>
  <c r="AE15" i="24" s="1"/>
  <c r="V15" i="24"/>
  <c r="T15" i="24"/>
  <c r="S15" i="24"/>
  <c r="R15" i="24"/>
  <c r="Q15" i="24"/>
  <c r="O15" i="24"/>
  <c r="AF15" i="24" s="1"/>
  <c r="N15" i="24"/>
  <c r="L15" i="24"/>
  <c r="C15" i="24"/>
  <c r="AA14" i="24"/>
  <c r="AB14" i="24" s="1"/>
  <c r="X14" i="24"/>
  <c r="AD14" i="24" s="1"/>
  <c r="AE14" i="24" s="1"/>
  <c r="V14" i="24"/>
  <c r="T14" i="24"/>
  <c r="S14" i="24"/>
  <c r="R14" i="24"/>
  <c r="Q14" i="24"/>
  <c r="O14" i="24"/>
  <c r="AF14" i="24" s="1"/>
  <c r="N14" i="24"/>
  <c r="L14" i="24"/>
  <c r="C14" i="24"/>
  <c r="AA13" i="24"/>
  <c r="AB13" i="24" s="1"/>
  <c r="X13" i="24"/>
  <c r="AD13" i="24" s="1"/>
  <c r="AE13" i="24" s="1"/>
  <c r="V13" i="24"/>
  <c r="T13" i="24"/>
  <c r="S13" i="24"/>
  <c r="R13" i="24"/>
  <c r="Q13" i="24"/>
  <c r="O13" i="24"/>
  <c r="AF13" i="24" s="1"/>
  <c r="N13" i="24"/>
  <c r="L13" i="24"/>
  <c r="M13" i="24" s="1"/>
  <c r="C13" i="24"/>
  <c r="AA12" i="24"/>
  <c r="AB12" i="24" s="1"/>
  <c r="X12" i="24"/>
  <c r="AD12" i="24" s="1"/>
  <c r="AE12" i="24" s="1"/>
  <c r="V12" i="24"/>
  <c r="T12" i="24"/>
  <c r="S12" i="24"/>
  <c r="R12" i="24"/>
  <c r="Q12" i="24"/>
  <c r="O12" i="24"/>
  <c r="P12" i="24" s="1"/>
  <c r="N12" i="24"/>
  <c r="L12" i="24"/>
  <c r="J12" i="24" s="1"/>
  <c r="C12" i="24"/>
  <c r="AA11" i="24"/>
  <c r="AB11" i="24" s="1"/>
  <c r="X11" i="24"/>
  <c r="AD11" i="24" s="1"/>
  <c r="AE11" i="24" s="1"/>
  <c r="V11" i="24"/>
  <c r="T11" i="24"/>
  <c r="S11" i="24"/>
  <c r="R11" i="24"/>
  <c r="Q11" i="24"/>
  <c r="O11" i="24"/>
  <c r="P11" i="24" s="1"/>
  <c r="N11" i="24"/>
  <c r="L11" i="24"/>
  <c r="M11" i="24" s="1"/>
  <c r="C11" i="24"/>
  <c r="AA10" i="24"/>
  <c r="AB10" i="24" s="1"/>
  <c r="X10" i="24"/>
  <c r="AD10" i="24" s="1"/>
  <c r="AE10" i="24" s="1"/>
  <c r="V10" i="24"/>
  <c r="T10" i="24"/>
  <c r="S10" i="24"/>
  <c r="R10" i="24"/>
  <c r="Q10" i="24"/>
  <c r="O10" i="24"/>
  <c r="P10" i="24" s="1"/>
  <c r="N10" i="24"/>
  <c r="L10" i="24"/>
  <c r="C10" i="24"/>
  <c r="AA9" i="24"/>
  <c r="AB9" i="24" s="1"/>
  <c r="X9" i="24"/>
  <c r="AD9" i="24" s="1"/>
  <c r="AE9" i="24" s="1"/>
  <c r="V9" i="24"/>
  <c r="T9" i="24"/>
  <c r="S9" i="24"/>
  <c r="R9" i="24"/>
  <c r="Q9" i="24"/>
  <c r="O9" i="24"/>
  <c r="P9" i="24" s="1"/>
  <c r="N9" i="24"/>
  <c r="L9" i="24"/>
  <c r="J9" i="24" s="1"/>
  <c r="C9" i="24"/>
  <c r="AA8" i="24"/>
  <c r="X8" i="24"/>
  <c r="V8" i="24"/>
  <c r="T8" i="24"/>
  <c r="S8" i="24"/>
  <c r="R8" i="24"/>
  <c r="Q8" i="24"/>
  <c r="O8" i="24"/>
  <c r="N8" i="24" s="1"/>
  <c r="L8" i="24"/>
  <c r="C8" i="24"/>
  <c r="K6" i="24"/>
  <c r="I6" i="24"/>
  <c r="H6" i="24"/>
  <c r="F6" i="24"/>
  <c r="E6" i="24"/>
  <c r="D6" i="24"/>
  <c r="H1" i="24"/>
  <c r="E1" i="24"/>
  <c r="D1" i="24"/>
  <c r="T9" i="41"/>
  <c r="I4" i="41"/>
  <c r="A22" i="27"/>
  <c r="I5" i="41"/>
  <c r="D7" i="43" l="1"/>
  <c r="Q6" i="43"/>
  <c r="F7" i="43"/>
  <c r="R6" i="43"/>
  <c r="H7" i="43"/>
  <c r="L7" i="43"/>
  <c r="N7" i="43" s="1"/>
  <c r="J6" i="43"/>
  <c r="P7" i="43"/>
  <c r="M15" i="26"/>
  <c r="AB26" i="28"/>
  <c r="AC26" i="28"/>
  <c r="AB25" i="28"/>
  <c r="AC25" i="28"/>
  <c r="M8" i="26"/>
  <c r="T6" i="32"/>
  <c r="U6" i="32" s="1"/>
  <c r="AC17" i="28"/>
  <c r="AB24" i="28"/>
  <c r="K13" i="26"/>
  <c r="M24" i="26"/>
  <c r="AC24" i="28"/>
  <c r="AB23" i="28"/>
  <c r="AC23" i="28"/>
  <c r="AC21" i="28"/>
  <c r="AB22" i="28"/>
  <c r="M9" i="30"/>
  <c r="J38" i="30"/>
  <c r="S6" i="24"/>
  <c r="K9" i="26"/>
  <c r="F17" i="26"/>
  <c r="M7" i="26"/>
  <c r="M18" i="26"/>
  <c r="K29" i="26"/>
  <c r="J42" i="24"/>
  <c r="M40" i="26"/>
  <c r="B12" i="26"/>
  <c r="J12" i="26" s="1"/>
  <c r="K7" i="26"/>
  <c r="G7" i="26" s="1"/>
  <c r="M16" i="26"/>
  <c r="K28" i="26"/>
  <c r="M32" i="26"/>
  <c r="K45" i="26"/>
  <c r="M55" i="26"/>
  <c r="K25" i="26"/>
  <c r="M39" i="26"/>
  <c r="C12" i="26"/>
  <c r="J11" i="24"/>
  <c r="M12" i="26"/>
  <c r="M25" i="26"/>
  <c r="M57" i="26"/>
  <c r="M49" i="24"/>
  <c r="M12" i="24"/>
  <c r="B23" i="26"/>
  <c r="J23" i="26" s="1"/>
  <c r="C33" i="26"/>
  <c r="F43" i="26"/>
  <c r="M29" i="24"/>
  <c r="F7" i="24"/>
  <c r="K21" i="26"/>
  <c r="M23" i="26"/>
  <c r="M42" i="26"/>
  <c r="F24" i="26"/>
  <c r="J24" i="26" s="1"/>
  <c r="F57" i="26"/>
  <c r="F11" i="26"/>
  <c r="C37" i="26"/>
  <c r="AF28" i="24"/>
  <c r="AF31" i="24"/>
  <c r="B11" i="26"/>
  <c r="K14" i="26"/>
  <c r="AB21" i="28"/>
  <c r="AC22" i="28"/>
  <c r="J36" i="30"/>
  <c r="J13" i="30"/>
  <c r="M36" i="30"/>
  <c r="M27" i="30"/>
  <c r="J20" i="30"/>
  <c r="J27" i="30"/>
  <c r="M34" i="30"/>
  <c r="J6" i="30"/>
  <c r="M20" i="30"/>
  <c r="U6" i="45"/>
  <c r="V6" i="45"/>
  <c r="T7" i="45"/>
  <c r="M28" i="24"/>
  <c r="P8" i="24"/>
  <c r="J30" i="24"/>
  <c r="J37" i="24"/>
  <c r="K37" i="26"/>
  <c r="G37" i="26" s="1"/>
  <c r="C29" i="26"/>
  <c r="K48" i="26"/>
  <c r="F7" i="26"/>
  <c r="F40" i="26"/>
  <c r="J40" i="26" s="1"/>
  <c r="R6" i="24"/>
  <c r="AF51" i="24"/>
  <c r="AF52" i="24"/>
  <c r="J54" i="24"/>
  <c r="AF44" i="24"/>
  <c r="B43" i="26"/>
  <c r="R6" i="32"/>
  <c r="S6" i="32" s="1"/>
  <c r="AB13" i="28"/>
  <c r="M24" i="30"/>
  <c r="M10" i="30"/>
  <c r="M28" i="30"/>
  <c r="M35" i="30"/>
  <c r="M14" i="30"/>
  <c r="M32" i="30"/>
  <c r="M6" i="30"/>
  <c r="M18" i="30"/>
  <c r="J8" i="30"/>
  <c r="J15" i="30"/>
  <c r="M22" i="30"/>
  <c r="M29" i="30"/>
  <c r="J40" i="30"/>
  <c r="J44" i="30"/>
  <c r="J48" i="30"/>
  <c r="J52" i="30"/>
  <c r="J56" i="30"/>
  <c r="M38" i="30"/>
  <c r="M8" i="30"/>
  <c r="M15" i="30"/>
  <c r="J26" i="30"/>
  <c r="J33" i="30"/>
  <c r="M40" i="30"/>
  <c r="M44" i="30"/>
  <c r="M48" i="30"/>
  <c r="M52" i="30"/>
  <c r="M56" i="30"/>
  <c r="M12" i="30"/>
  <c r="M19" i="30"/>
  <c r="J30" i="30"/>
  <c r="J37" i="30"/>
  <c r="M30" i="30"/>
  <c r="M26" i="30"/>
  <c r="M16" i="30"/>
  <c r="V7" i="45"/>
  <c r="H6" i="45"/>
  <c r="AF16" i="24"/>
  <c r="M18" i="24"/>
  <c r="B55" i="26"/>
  <c r="F19" i="26"/>
  <c r="J19" i="26" s="1"/>
  <c r="F27" i="26"/>
  <c r="B35" i="26"/>
  <c r="J35" i="26" s="1"/>
  <c r="M17" i="26"/>
  <c r="C55" i="26"/>
  <c r="J34" i="24"/>
  <c r="J58" i="24"/>
  <c r="AF60" i="24"/>
  <c r="C13" i="26"/>
  <c r="C47" i="26"/>
  <c r="AF48" i="24"/>
  <c r="AF56" i="24"/>
  <c r="C23" i="26"/>
  <c r="B31" i="26"/>
  <c r="C39" i="26"/>
  <c r="M33" i="26"/>
  <c r="AF36" i="24"/>
  <c r="Q6" i="24"/>
  <c r="J10" i="24"/>
  <c r="J14" i="24"/>
  <c r="M14" i="26"/>
  <c r="J50" i="24"/>
  <c r="P58" i="24"/>
  <c r="C7" i="26"/>
  <c r="E7" i="26" s="1"/>
  <c r="K32" i="26"/>
  <c r="F39" i="26"/>
  <c r="J39" i="26" s="1"/>
  <c r="K49" i="26"/>
  <c r="B59" i="26"/>
  <c r="F59" i="26"/>
  <c r="M9" i="26"/>
  <c r="M14" i="24"/>
  <c r="P38" i="24"/>
  <c r="K40" i="26"/>
  <c r="G40" i="26" s="1"/>
  <c r="B33" i="26"/>
  <c r="C40" i="26"/>
  <c r="M9" i="24"/>
  <c r="K60" i="26"/>
  <c r="P54" i="24"/>
  <c r="F9" i="26"/>
  <c r="AF21" i="24"/>
  <c r="AF43" i="24"/>
  <c r="F25" i="26"/>
  <c r="C53" i="26"/>
  <c r="J26" i="24"/>
  <c r="AC13" i="28"/>
  <c r="AC20" i="28"/>
  <c r="AB20" i="28"/>
  <c r="AC19" i="28"/>
  <c r="AB12" i="28"/>
  <c r="AB14" i="28"/>
  <c r="AB16" i="28"/>
  <c r="AC14" i="28"/>
  <c r="AB18" i="28"/>
  <c r="AC16" i="28"/>
  <c r="AC18" i="28"/>
  <c r="J12" i="30"/>
  <c r="J19" i="30"/>
  <c r="M33" i="30"/>
  <c r="J16" i="30"/>
  <c r="J23" i="30"/>
  <c r="M37" i="30"/>
  <c r="J41" i="30"/>
  <c r="J45" i="30"/>
  <c r="J49" i="30"/>
  <c r="J53" i="30"/>
  <c r="J57" i="30"/>
  <c r="J9" i="30"/>
  <c r="M23" i="30"/>
  <c r="J34" i="30"/>
  <c r="M41" i="30"/>
  <c r="M45" i="30"/>
  <c r="M49" i="30"/>
  <c r="M53" i="30"/>
  <c r="M57" i="30"/>
  <c r="M13" i="30"/>
  <c r="J24" i="30"/>
  <c r="J31" i="30"/>
  <c r="J42" i="30"/>
  <c r="J46" i="30"/>
  <c r="J50" i="30"/>
  <c r="J54" i="30"/>
  <c r="J58" i="30"/>
  <c r="J10" i="30"/>
  <c r="J17" i="30"/>
  <c r="M31" i="30"/>
  <c r="M42" i="30"/>
  <c r="M46" i="30"/>
  <c r="M50" i="30"/>
  <c r="M54" i="30"/>
  <c r="M58" i="30"/>
  <c r="M17" i="30"/>
  <c r="J28" i="30"/>
  <c r="J35" i="30"/>
  <c r="J14" i="30"/>
  <c r="J21" i="30"/>
  <c r="J7" i="30"/>
  <c r="M21" i="30"/>
  <c r="J32" i="30"/>
  <c r="J39" i="30"/>
  <c r="J43" i="30"/>
  <c r="J47" i="30"/>
  <c r="J51" i="30"/>
  <c r="J55" i="30"/>
  <c r="J59" i="30"/>
  <c r="M7" i="30"/>
  <c r="J18" i="30"/>
  <c r="J25" i="30"/>
  <c r="M39" i="30"/>
  <c r="M43" i="30"/>
  <c r="M47" i="30"/>
  <c r="M51" i="30"/>
  <c r="M55" i="30"/>
  <c r="M59" i="30"/>
  <c r="J11" i="30"/>
  <c r="M25" i="30"/>
  <c r="M11" i="30"/>
  <c r="J22" i="30"/>
  <c r="J29" i="30"/>
  <c r="D7" i="45"/>
  <c r="F7" i="45"/>
  <c r="J7" i="45" s="1"/>
  <c r="I7" i="45"/>
  <c r="L7" i="45"/>
  <c r="N7" i="45"/>
  <c r="P7" i="45"/>
  <c r="R7" i="45"/>
  <c r="P15" i="24"/>
  <c r="P14" i="24"/>
  <c r="P23" i="24"/>
  <c r="AF27" i="24"/>
  <c r="M31" i="24"/>
  <c r="P35" i="24"/>
  <c r="AF40" i="24"/>
  <c r="B15" i="26"/>
  <c r="F37" i="26"/>
  <c r="J37" i="26" s="1"/>
  <c r="B49" i="26"/>
  <c r="G49" i="26" s="1"/>
  <c r="AF11" i="24"/>
  <c r="M22" i="24"/>
  <c r="M30" i="26"/>
  <c r="M31" i="26"/>
  <c r="C8" i="26"/>
  <c r="F15" i="26"/>
  <c r="B21" i="26"/>
  <c r="J21" i="26" s="1"/>
  <c r="C32" i="26"/>
  <c r="B44" i="26"/>
  <c r="J44" i="26" s="1"/>
  <c r="C49" i="26"/>
  <c r="M60" i="26"/>
  <c r="M32" i="24"/>
  <c r="U6" i="24"/>
  <c r="AF19" i="24"/>
  <c r="M30" i="24"/>
  <c r="P34" i="24"/>
  <c r="K41" i="26"/>
  <c r="AF47" i="24"/>
  <c r="F8" i="26"/>
  <c r="J8" i="26" s="1"/>
  <c r="C21" i="26"/>
  <c r="B27" i="26"/>
  <c r="C44" i="26"/>
  <c r="C56" i="26"/>
  <c r="W6" i="24"/>
  <c r="Q7" i="24"/>
  <c r="G26" i="24"/>
  <c r="J27" i="24"/>
  <c r="AF39" i="24"/>
  <c r="J41" i="24"/>
  <c r="M49" i="26"/>
  <c r="M58" i="26"/>
  <c r="K33" i="26"/>
  <c r="F56" i="26"/>
  <c r="J56" i="26" s="1"/>
  <c r="M41" i="26"/>
  <c r="K44" i="26"/>
  <c r="K56" i="26"/>
  <c r="M27" i="24"/>
  <c r="G40" i="24"/>
  <c r="M41" i="24"/>
  <c r="M47" i="26"/>
  <c r="AD52" i="24"/>
  <c r="AE52" i="24" s="1"/>
  <c r="P30" i="24"/>
  <c r="P50" i="24"/>
  <c r="P55" i="24"/>
  <c r="P59" i="24"/>
  <c r="K17" i="26"/>
  <c r="B28" i="26"/>
  <c r="B51" i="26"/>
  <c r="J51" i="26" s="1"/>
  <c r="M10" i="26"/>
  <c r="G19" i="24"/>
  <c r="M26" i="24"/>
  <c r="M26" i="26"/>
  <c r="P42" i="24"/>
  <c r="M47" i="24"/>
  <c r="K53" i="26"/>
  <c r="B17" i="26"/>
  <c r="C28" i="26"/>
  <c r="C45" i="26"/>
  <c r="H6" i="33"/>
  <c r="I6" i="33" s="1"/>
  <c r="M28" i="26"/>
  <c r="J6" i="33"/>
  <c r="K6" i="33" s="1"/>
  <c r="U7" i="24"/>
  <c r="J8" i="24"/>
  <c r="AC9" i="24" s="1"/>
  <c r="P26" i="24"/>
  <c r="J45" i="24"/>
  <c r="M46" i="24"/>
  <c r="J53" i="24"/>
  <c r="J57" i="24"/>
  <c r="J61" i="24"/>
  <c r="B47" i="26"/>
  <c r="J47" i="26" s="1"/>
  <c r="B53" i="26"/>
  <c r="L6" i="33"/>
  <c r="M6" i="33" s="1"/>
  <c r="N6" i="33"/>
  <c r="O6" i="33" s="1"/>
  <c r="I7" i="24"/>
  <c r="F41" i="26"/>
  <c r="P6" i="33"/>
  <c r="Q6" i="33" s="1"/>
  <c r="M8" i="24"/>
  <c r="M17" i="24"/>
  <c r="J33" i="24"/>
  <c r="M38" i="24"/>
  <c r="M44" i="26"/>
  <c r="P46" i="24"/>
  <c r="C24" i="26"/>
  <c r="F6" i="32"/>
  <c r="G6" i="32" s="1"/>
  <c r="B60" i="26"/>
  <c r="J60" i="26" s="1"/>
  <c r="N6" i="32"/>
  <c r="O6" i="32" s="1"/>
  <c r="J31" i="24"/>
  <c r="M34" i="26"/>
  <c r="F31" i="26"/>
  <c r="C60" i="26"/>
  <c r="P6" i="32"/>
  <c r="Q6" i="32" s="1"/>
  <c r="AB11" i="28"/>
  <c r="AB15" i="28"/>
  <c r="AB17" i="28"/>
  <c r="AB19" i="28"/>
  <c r="AC12" i="28"/>
  <c r="AC11" i="28"/>
  <c r="AC15" i="28"/>
  <c r="I5" i="37"/>
  <c r="AD53" i="24"/>
  <c r="AE53" i="24" s="1"/>
  <c r="D7" i="24"/>
  <c r="AF9" i="24"/>
  <c r="J19" i="24"/>
  <c r="J25" i="24"/>
  <c r="AF25" i="24"/>
  <c r="M48" i="24"/>
  <c r="J48" i="24"/>
  <c r="K47" i="26"/>
  <c r="K12" i="26"/>
  <c r="K18" i="26"/>
  <c r="F18" i="26"/>
  <c r="B18" i="26"/>
  <c r="K34" i="26"/>
  <c r="F34" i="26"/>
  <c r="B34" i="26"/>
  <c r="K50" i="26"/>
  <c r="M52" i="24"/>
  <c r="J52" i="24"/>
  <c r="P13" i="24"/>
  <c r="P18" i="24"/>
  <c r="M19" i="24"/>
  <c r="AF20" i="24"/>
  <c r="P24" i="24"/>
  <c r="M25" i="24"/>
  <c r="M51" i="24"/>
  <c r="K10" i="26"/>
  <c r="K26" i="26"/>
  <c r="J55" i="26"/>
  <c r="M38" i="26"/>
  <c r="K38" i="26"/>
  <c r="F38" i="26"/>
  <c r="B38" i="26"/>
  <c r="K46" i="26"/>
  <c r="M51" i="26"/>
  <c r="L6" i="24"/>
  <c r="AF10" i="24"/>
  <c r="M20" i="24"/>
  <c r="F16" i="26"/>
  <c r="B16" i="26"/>
  <c r="F32" i="26"/>
  <c r="B32" i="26"/>
  <c r="C38" i="26"/>
  <c r="O6" i="24"/>
  <c r="K7" i="24"/>
  <c r="M10" i="24"/>
  <c r="J15" i="24"/>
  <c r="J21" i="24"/>
  <c r="P33" i="24"/>
  <c r="AF33" i="24"/>
  <c r="M35" i="24"/>
  <c r="M36" i="24"/>
  <c r="M19" i="26"/>
  <c r="M22" i="26"/>
  <c r="K22" i="26"/>
  <c r="F22" i="26"/>
  <c r="B22" i="26"/>
  <c r="M35" i="26"/>
  <c r="H60" i="26"/>
  <c r="K8" i="26"/>
  <c r="G8" i="26" s="1"/>
  <c r="K16" i="26"/>
  <c r="M15" i="24"/>
  <c r="M60" i="24"/>
  <c r="J60" i="24"/>
  <c r="K24" i="26"/>
  <c r="G24" i="26" s="1"/>
  <c r="K39" i="26"/>
  <c r="G39" i="26" s="1"/>
  <c r="J40" i="24"/>
  <c r="M52" i="26"/>
  <c r="S7" i="24"/>
  <c r="T6" i="24"/>
  <c r="G12" i="24" s="1"/>
  <c r="AB8" i="24"/>
  <c r="M16" i="24"/>
  <c r="M39" i="24"/>
  <c r="M40" i="24"/>
  <c r="K58" i="26"/>
  <c r="M59" i="24"/>
  <c r="J59" i="24"/>
  <c r="F14" i="26"/>
  <c r="C14" i="26"/>
  <c r="B14" i="26"/>
  <c r="F30" i="26"/>
  <c r="C30" i="26"/>
  <c r="B30" i="26"/>
  <c r="AF12" i="24"/>
  <c r="AF17" i="24"/>
  <c r="M20" i="26"/>
  <c r="K20" i="26"/>
  <c r="F20" i="26"/>
  <c r="B20" i="26"/>
  <c r="M36" i="26"/>
  <c r="K36" i="26"/>
  <c r="F36" i="26"/>
  <c r="C36" i="26"/>
  <c r="B36" i="26"/>
  <c r="F48" i="26"/>
  <c r="C48" i="26"/>
  <c r="B48" i="26"/>
  <c r="M48" i="26"/>
  <c r="AD8" i="24"/>
  <c r="J23" i="24"/>
  <c r="K30" i="26"/>
  <c r="M53" i="26"/>
  <c r="K42" i="26"/>
  <c r="AF8" i="24"/>
  <c r="J13" i="24"/>
  <c r="P22" i="24"/>
  <c r="M43" i="24"/>
  <c r="M44" i="24"/>
  <c r="K55" i="26"/>
  <c r="M56" i="24"/>
  <c r="J56" i="24"/>
  <c r="P29" i="24"/>
  <c r="AF29" i="24"/>
  <c r="AF32" i="24"/>
  <c r="J7" i="26"/>
  <c r="C10" i="26"/>
  <c r="B10" i="26"/>
  <c r="F10" i="26"/>
  <c r="M37" i="26"/>
  <c r="K23" i="26"/>
  <c r="J24" i="24"/>
  <c r="M24" i="24"/>
  <c r="M55" i="24"/>
  <c r="J55" i="24"/>
  <c r="M21" i="26"/>
  <c r="M54" i="26"/>
  <c r="K54" i="26"/>
  <c r="F54" i="26"/>
  <c r="C54" i="26"/>
  <c r="B54" i="26"/>
  <c r="K15" i="26"/>
  <c r="F26" i="26"/>
  <c r="K31" i="26"/>
  <c r="F42" i="26"/>
  <c r="F58" i="26"/>
  <c r="L6" i="31"/>
  <c r="M6" i="31" s="1"/>
  <c r="B52" i="26"/>
  <c r="N6" i="31"/>
  <c r="O6" i="31" s="1"/>
  <c r="M46" i="26"/>
  <c r="C52" i="26"/>
  <c r="P6" i="28"/>
  <c r="Q6" i="28" s="1"/>
  <c r="K11" i="26"/>
  <c r="M13" i="26"/>
  <c r="C19" i="26"/>
  <c r="K27" i="26"/>
  <c r="M29" i="26"/>
  <c r="C35" i="26"/>
  <c r="K43" i="26"/>
  <c r="M45" i="26"/>
  <c r="B50" i="26"/>
  <c r="C51" i="26"/>
  <c r="K59" i="26"/>
  <c r="G59" i="26" s="1"/>
  <c r="P6" i="31"/>
  <c r="Q6" i="31" s="1"/>
  <c r="M11" i="26"/>
  <c r="M27" i="26"/>
  <c r="M43" i="26"/>
  <c r="F52" i="26"/>
  <c r="K57" i="26"/>
  <c r="M59" i="26"/>
  <c r="R6" i="31"/>
  <c r="S6" i="31" s="1"/>
  <c r="B46" i="26"/>
  <c r="J46" i="26" s="1"/>
  <c r="F50" i="26"/>
  <c r="V6" i="28"/>
  <c r="W6" i="28" s="1"/>
  <c r="T6" i="31"/>
  <c r="U6" i="31" s="1"/>
  <c r="AF37" i="24"/>
  <c r="AF41" i="24"/>
  <c r="AF45" i="24"/>
  <c r="AF49" i="24"/>
  <c r="AF53" i="24"/>
  <c r="AF57" i="24"/>
  <c r="AF61" i="24"/>
  <c r="B13" i="26"/>
  <c r="B29" i="26"/>
  <c r="B45" i="26"/>
  <c r="C46" i="26"/>
  <c r="F49" i="26"/>
  <c r="M56" i="26"/>
  <c r="H6" i="32"/>
  <c r="I6" i="32" s="1"/>
  <c r="R6" i="33"/>
  <c r="S6" i="33" s="1"/>
  <c r="F6" i="28"/>
  <c r="G6" i="28" s="1"/>
  <c r="F6" i="31"/>
  <c r="G6" i="31" s="1"/>
  <c r="K52" i="26"/>
  <c r="J6" i="32"/>
  <c r="K6" i="32" s="1"/>
  <c r="T6" i="33"/>
  <c r="U6" i="33" s="1"/>
  <c r="K19" i="26"/>
  <c r="G19" i="26" s="1"/>
  <c r="B26" i="26"/>
  <c r="K35" i="26"/>
  <c r="B42" i="26"/>
  <c r="K51" i="26"/>
  <c r="B58" i="26"/>
  <c r="H6" i="28"/>
  <c r="I6" i="28" s="1"/>
  <c r="H6" i="31"/>
  <c r="I6" i="31" s="1"/>
  <c r="B9" i="26"/>
  <c r="B25" i="26"/>
  <c r="B41" i="26"/>
  <c r="B57" i="26"/>
  <c r="J7" i="43" l="1"/>
  <c r="G48" i="24"/>
  <c r="G15" i="24"/>
  <c r="G41" i="24"/>
  <c r="G25" i="24"/>
  <c r="G17" i="24"/>
  <c r="G13" i="24"/>
  <c r="G16" i="24"/>
  <c r="G14" i="24"/>
  <c r="G11" i="24"/>
  <c r="G45" i="24"/>
  <c r="G34" i="24"/>
  <c r="G29" i="24"/>
  <c r="G35" i="24"/>
  <c r="G28" i="24"/>
  <c r="G50" i="24"/>
  <c r="G9" i="24"/>
  <c r="G24" i="24"/>
  <c r="G44" i="24"/>
  <c r="G42" i="24"/>
  <c r="G20" i="24"/>
  <c r="G10" i="24"/>
  <c r="G49" i="24"/>
  <c r="G36" i="24"/>
  <c r="G27" i="24"/>
  <c r="G18" i="24"/>
  <c r="G31" i="24"/>
  <c r="G51" i="24"/>
  <c r="G22" i="24"/>
  <c r="G8" i="24"/>
  <c r="G47" i="24"/>
  <c r="G38" i="24"/>
  <c r="G30" i="24"/>
  <c r="G43" i="24"/>
  <c r="D7" i="26"/>
  <c r="D8" i="26" s="1"/>
  <c r="G33" i="24"/>
  <c r="G37" i="24"/>
  <c r="G23" i="24"/>
  <c r="G39" i="24"/>
  <c r="G32" i="24"/>
  <c r="G21" i="24"/>
  <c r="G46" i="24"/>
  <c r="G12" i="26"/>
  <c r="P12" i="26" s="1"/>
  <c r="J17" i="26"/>
  <c r="J11" i="26"/>
  <c r="E9" i="26"/>
  <c r="E10" i="26"/>
  <c r="J43" i="26"/>
  <c r="G11" i="26"/>
  <c r="P11" i="26" s="1"/>
  <c r="G53" i="26"/>
  <c r="P53" i="26" s="1"/>
  <c r="G23" i="26"/>
  <c r="P23" i="26" s="1"/>
  <c r="G56" i="26"/>
  <c r="P56" i="26" s="1"/>
  <c r="G28" i="26"/>
  <c r="P28" i="26" s="1"/>
  <c r="E11" i="26"/>
  <c r="P19" i="26"/>
  <c r="H9" i="26"/>
  <c r="G35" i="26"/>
  <c r="P35" i="26" s="1"/>
  <c r="AC10" i="24"/>
  <c r="G33" i="26"/>
  <c r="P33" i="26" s="1"/>
  <c r="P37" i="26"/>
  <c r="J31" i="26"/>
  <c r="G31" i="26"/>
  <c r="P31" i="26" s="1"/>
  <c r="G15" i="26"/>
  <c r="P15" i="26" s="1"/>
  <c r="P24" i="26"/>
  <c r="H8" i="26"/>
  <c r="P59" i="26"/>
  <c r="H7" i="26"/>
  <c r="L7" i="26" s="1"/>
  <c r="P40" i="26"/>
  <c r="E29" i="26"/>
  <c r="P8" i="26"/>
  <c r="J27" i="26"/>
  <c r="J28" i="26"/>
  <c r="G55" i="26"/>
  <c r="P55" i="26" s="1"/>
  <c r="AC32" i="24"/>
  <c r="G60" i="26"/>
  <c r="P60" i="26" s="1"/>
  <c r="J53" i="26"/>
  <c r="J33" i="26"/>
  <c r="G43" i="26"/>
  <c r="P43" i="26" s="1"/>
  <c r="P39" i="26"/>
  <c r="E8" i="26"/>
  <c r="AC35" i="24"/>
  <c r="AD57" i="24"/>
  <c r="AE57" i="24" s="1"/>
  <c r="G27" i="26"/>
  <c r="P27" i="26" s="1"/>
  <c r="G21" i="26"/>
  <c r="P21" i="26" s="1"/>
  <c r="AC15" i="24"/>
  <c r="E21" i="26"/>
  <c r="AC11" i="24"/>
  <c r="AD59" i="24"/>
  <c r="AE59" i="24" s="1"/>
  <c r="AC30" i="24"/>
  <c r="E27" i="26"/>
  <c r="E13" i="26"/>
  <c r="AD58" i="24"/>
  <c r="AE58" i="24" s="1"/>
  <c r="J59" i="26"/>
  <c r="AC12" i="24"/>
  <c r="AD60" i="24"/>
  <c r="AE60" i="24" s="1"/>
  <c r="AC13" i="24"/>
  <c r="AC53" i="24"/>
  <c r="AC46" i="24"/>
  <c r="G17" i="26"/>
  <c r="P17" i="26" s="1"/>
  <c r="E37" i="26"/>
  <c r="E28" i="26"/>
  <c r="AC58" i="24"/>
  <c r="E32" i="26"/>
  <c r="AC25" i="24"/>
  <c r="E19" i="26"/>
  <c r="AD56" i="24"/>
  <c r="AE56" i="24" s="1"/>
  <c r="G51" i="26"/>
  <c r="P51" i="26" s="1"/>
  <c r="AD54" i="24"/>
  <c r="AE54" i="24" s="1"/>
  <c r="J41" i="26"/>
  <c r="G44" i="26"/>
  <c r="P44" i="26" s="1"/>
  <c r="AC26" i="24"/>
  <c r="AC49" i="24"/>
  <c r="AC54" i="24"/>
  <c r="AC31" i="24"/>
  <c r="G47" i="26"/>
  <c r="P47" i="26" s="1"/>
  <c r="AC39" i="24"/>
  <c r="J15" i="26"/>
  <c r="H41" i="26"/>
  <c r="H28" i="26"/>
  <c r="AD55" i="24"/>
  <c r="AE55" i="24" s="1"/>
  <c r="E14" i="26"/>
  <c r="AC38" i="24"/>
  <c r="AC44" i="24"/>
  <c r="AC42" i="24"/>
  <c r="E44" i="26"/>
  <c r="G48" i="26"/>
  <c r="P48" i="26" s="1"/>
  <c r="I7" i="26"/>
  <c r="P7" i="26"/>
  <c r="I8" i="26"/>
  <c r="E30" i="26"/>
  <c r="J6" i="24"/>
  <c r="G52" i="26"/>
  <c r="P52" i="26" s="1"/>
  <c r="AC57" i="24"/>
  <c r="J48" i="26"/>
  <c r="H48" i="26"/>
  <c r="G57" i="26"/>
  <c r="P57" i="26" s="1"/>
  <c r="J57" i="26"/>
  <c r="H59" i="26"/>
  <c r="AC61" i="24"/>
  <c r="E42" i="26"/>
  <c r="E52" i="26"/>
  <c r="G22" i="26"/>
  <c r="P22" i="26" s="1"/>
  <c r="H37" i="26"/>
  <c r="AC21" i="24"/>
  <c r="J49" i="26"/>
  <c r="H49" i="26"/>
  <c r="G30" i="26"/>
  <c r="P30" i="26" s="1"/>
  <c r="G54" i="24"/>
  <c r="G55" i="24"/>
  <c r="G56" i="24"/>
  <c r="G59" i="24"/>
  <c r="G60" i="24"/>
  <c r="G61" i="24"/>
  <c r="G53" i="24"/>
  <c r="J22" i="26"/>
  <c r="H22" i="26"/>
  <c r="H44" i="26"/>
  <c r="E34" i="26"/>
  <c r="H46" i="26"/>
  <c r="E40" i="26"/>
  <c r="AC27" i="24"/>
  <c r="G26" i="26"/>
  <c r="P26" i="26" s="1"/>
  <c r="H43" i="26"/>
  <c r="G34" i="26"/>
  <c r="P34" i="26" s="1"/>
  <c r="G10" i="26"/>
  <c r="P10" i="26" s="1"/>
  <c r="H30" i="26"/>
  <c r="J30" i="26"/>
  <c r="E18" i="26"/>
  <c r="J34" i="26"/>
  <c r="H34" i="26"/>
  <c r="AC36" i="24"/>
  <c r="AC16" i="24"/>
  <c r="J10" i="26"/>
  <c r="H10" i="26"/>
  <c r="E20" i="26"/>
  <c r="J36" i="26"/>
  <c r="H36" i="26"/>
  <c r="G14" i="26"/>
  <c r="P14" i="26" s="1"/>
  <c r="H27" i="26"/>
  <c r="G32" i="26"/>
  <c r="P32" i="26" s="1"/>
  <c r="AC34" i="24"/>
  <c r="AC41" i="24"/>
  <c r="E58" i="26"/>
  <c r="G29" i="26"/>
  <c r="P29" i="26" s="1"/>
  <c r="J29" i="26"/>
  <c r="E46" i="26"/>
  <c r="J32" i="26"/>
  <c r="H32" i="26"/>
  <c r="E56" i="26"/>
  <c r="H31" i="26"/>
  <c r="AC29" i="24"/>
  <c r="G57" i="24"/>
  <c r="E48" i="26"/>
  <c r="J54" i="26"/>
  <c r="H54" i="26"/>
  <c r="J58" i="26"/>
  <c r="H58" i="26"/>
  <c r="E33" i="26"/>
  <c r="G9" i="26"/>
  <c r="P9" i="26" s="1"/>
  <c r="J9" i="26"/>
  <c r="D9" i="26"/>
  <c r="G13" i="26"/>
  <c r="P13" i="26" s="1"/>
  <c r="J13" i="26"/>
  <c r="E17" i="26"/>
  <c r="E53" i="26"/>
  <c r="J42" i="26"/>
  <c r="H42" i="26"/>
  <c r="AC14" i="24"/>
  <c r="AC33" i="24"/>
  <c r="AC50" i="24"/>
  <c r="H17" i="26"/>
  <c r="AC43" i="24"/>
  <c r="H14" i="26"/>
  <c r="J14" i="26"/>
  <c r="H47" i="26"/>
  <c r="E22" i="26"/>
  <c r="G38" i="26"/>
  <c r="P38" i="26" s="1"/>
  <c r="E23" i="26"/>
  <c r="AC22" i="24"/>
  <c r="H25" i="26"/>
  <c r="H51" i="26"/>
  <c r="G45" i="26"/>
  <c r="P45" i="26" s="1"/>
  <c r="H12" i="26"/>
  <c r="E41" i="26"/>
  <c r="H33" i="26"/>
  <c r="AC47" i="24"/>
  <c r="AC24" i="24"/>
  <c r="G20" i="26"/>
  <c r="P20" i="26" s="1"/>
  <c r="E59" i="26"/>
  <c r="H21" i="26"/>
  <c r="J38" i="26"/>
  <c r="H38" i="26"/>
  <c r="E39" i="26"/>
  <c r="AC20" i="24"/>
  <c r="G58" i="24"/>
  <c r="J50" i="26"/>
  <c r="H50" i="26"/>
  <c r="G41" i="26"/>
  <c r="P41" i="26" s="1"/>
  <c r="E49" i="26"/>
  <c r="G46" i="26"/>
  <c r="P46" i="26" s="1"/>
  <c r="E47" i="26"/>
  <c r="G50" i="26"/>
  <c r="P50" i="26" s="1"/>
  <c r="AC51" i="24"/>
  <c r="J20" i="26"/>
  <c r="H20" i="26"/>
  <c r="H11" i="26"/>
  <c r="G16" i="26"/>
  <c r="P16" i="26" s="1"/>
  <c r="AC37" i="24"/>
  <c r="E38" i="26"/>
  <c r="G18" i="26"/>
  <c r="P18" i="26" s="1"/>
  <c r="AC23" i="24"/>
  <c r="H13" i="26"/>
  <c r="G54" i="26"/>
  <c r="P54" i="26" s="1"/>
  <c r="G25" i="26"/>
  <c r="P25" i="26" s="1"/>
  <c r="J25" i="26"/>
  <c r="H53" i="26"/>
  <c r="AC52" i="24"/>
  <c r="AC55" i="24"/>
  <c r="AC18" i="24"/>
  <c r="H35" i="26"/>
  <c r="J16" i="26"/>
  <c r="H16" i="26"/>
  <c r="E54" i="26"/>
  <c r="J18" i="26"/>
  <c r="H18" i="26"/>
  <c r="AC17" i="24"/>
  <c r="G52" i="24"/>
  <c r="E35" i="26"/>
  <c r="E55" i="26"/>
  <c r="E60" i="26"/>
  <c r="G36" i="26"/>
  <c r="P36" i="26" s="1"/>
  <c r="E57" i="26"/>
  <c r="G58" i="26"/>
  <c r="P58" i="26" s="1"/>
  <c r="J26" i="26"/>
  <c r="H26" i="26"/>
  <c r="E26" i="26"/>
  <c r="H57" i="26"/>
  <c r="AC59" i="24"/>
  <c r="AC28" i="24"/>
  <c r="E24" i="26"/>
  <c r="E50" i="26"/>
  <c r="J45" i="26"/>
  <c r="AC48" i="24"/>
  <c r="H24" i="26"/>
  <c r="H39" i="26"/>
  <c r="E12" i="26"/>
  <c r="E16" i="26"/>
  <c r="H56" i="26"/>
  <c r="J52" i="26"/>
  <c r="H52" i="26"/>
  <c r="E25" i="26"/>
  <c r="H45" i="26"/>
  <c r="AC19" i="24"/>
  <c r="AC56" i="24"/>
  <c r="AE8" i="24"/>
  <c r="H19" i="26"/>
  <c r="H55" i="26"/>
  <c r="AC40" i="24"/>
  <c r="E15" i="26"/>
  <c r="H15" i="26"/>
  <c r="L7" i="24"/>
  <c r="Q2" i="24" s="1"/>
  <c r="H29" i="26"/>
  <c r="E31" i="26"/>
  <c r="E45" i="26"/>
  <c r="E43" i="26"/>
  <c r="G42" i="26"/>
  <c r="P42" i="26" s="1"/>
  <c r="E51" i="26"/>
  <c r="H40" i="26"/>
  <c r="P49" i="26"/>
  <c r="AC60" i="24"/>
  <c r="E36" i="26"/>
  <c r="AC45" i="24"/>
  <c r="H23" i="26"/>
  <c r="L8" i="26" l="1"/>
  <c r="Q8" i="26"/>
  <c r="L9" i="26"/>
  <c r="Q7" i="26"/>
  <c r="AD6" i="24"/>
  <c r="AE6" i="24" s="1"/>
  <c r="D10" i="26"/>
  <c r="D11" i="26" s="1"/>
  <c r="D12" i="26" s="1"/>
  <c r="D13" i="26" s="1"/>
  <c r="D14" i="26" s="1"/>
  <c r="D15" i="26" s="1"/>
  <c r="I30" i="26"/>
  <c r="Q30" i="26" s="1"/>
  <c r="I41" i="26"/>
  <c r="Q41" i="26" s="1"/>
  <c r="I18" i="26"/>
  <c r="Q18" i="26" s="1"/>
  <c r="I57" i="26"/>
  <c r="Q57" i="26" s="1"/>
  <c r="I34" i="26"/>
  <c r="Q34" i="26" s="1"/>
  <c r="I12" i="26"/>
  <c r="Q12" i="26" s="1"/>
  <c r="I50" i="26"/>
  <c r="Q50" i="26" s="1"/>
  <c r="AA59" i="24"/>
  <c r="AB59" i="24" s="1"/>
  <c r="AA60" i="24"/>
  <c r="AB60" i="24" s="1"/>
  <c r="AA56" i="24"/>
  <c r="AB56" i="24" s="1"/>
  <c r="AA57" i="24"/>
  <c r="AB57" i="24" s="1"/>
  <c r="AA53" i="24"/>
  <c r="AA58" i="24"/>
  <c r="AB58" i="24" s="1"/>
  <c r="AA54" i="24"/>
  <c r="AB54" i="24" s="1"/>
  <c r="AA55" i="24"/>
  <c r="AB55" i="24" s="1"/>
  <c r="I28" i="26"/>
  <c r="Q28" i="26" s="1"/>
  <c r="I23" i="26"/>
  <c r="Q23" i="26" s="1"/>
  <c r="I17" i="26"/>
  <c r="Q17" i="26" s="1"/>
  <c r="I13" i="26"/>
  <c r="Q13" i="26" s="1"/>
  <c r="I39" i="26"/>
  <c r="Q39" i="26" s="1"/>
  <c r="I33" i="26"/>
  <c r="Q33" i="26" s="1"/>
  <c r="I10" i="26"/>
  <c r="Q10" i="26" s="1"/>
  <c r="I29" i="26"/>
  <c r="Q29" i="26" s="1"/>
  <c r="I55" i="26"/>
  <c r="Q55" i="26" s="1"/>
  <c r="I49" i="26"/>
  <c r="Q49" i="26" s="1"/>
  <c r="I26" i="26"/>
  <c r="Q26" i="26" s="1"/>
  <c r="I45" i="26"/>
  <c r="Q45" i="26" s="1"/>
  <c r="I54" i="26"/>
  <c r="Q54" i="26" s="1"/>
  <c r="I16" i="26"/>
  <c r="Q16" i="26" s="1"/>
  <c r="I40" i="26"/>
  <c r="Q40" i="26" s="1"/>
  <c r="I60" i="26"/>
  <c r="Q60" i="26" s="1"/>
  <c r="I21" i="26"/>
  <c r="Q21" i="26" s="1"/>
  <c r="I32" i="26"/>
  <c r="Q32" i="26" s="1"/>
  <c r="I46" i="26"/>
  <c r="Q46" i="26" s="1"/>
  <c r="I11" i="26"/>
  <c r="Q11" i="26" s="1"/>
  <c r="I37" i="26"/>
  <c r="Q37" i="26" s="1"/>
  <c r="I48" i="26"/>
  <c r="Q48" i="26" s="1"/>
  <c r="I27" i="26"/>
  <c r="Q27" i="26" s="1"/>
  <c r="I53" i="26"/>
  <c r="Q53" i="26" s="1"/>
  <c r="I15" i="26"/>
  <c r="Q15" i="26" s="1"/>
  <c r="I24" i="26"/>
  <c r="Q24" i="26" s="1"/>
  <c r="I43" i="26"/>
  <c r="Q43" i="26" s="1"/>
  <c r="I20" i="26"/>
  <c r="Q20" i="26" s="1"/>
  <c r="I31" i="26"/>
  <c r="Q31" i="26" s="1"/>
  <c r="L2" i="24"/>
  <c r="I38" i="26"/>
  <c r="Q38" i="26" s="1"/>
  <c r="I59" i="26"/>
  <c r="Q59" i="26" s="1"/>
  <c r="I36" i="26"/>
  <c r="Q36" i="26" s="1"/>
  <c r="I47" i="26"/>
  <c r="Q47" i="26" s="1"/>
  <c r="I44" i="26"/>
  <c r="Q44" i="26" s="1"/>
  <c r="I42" i="26"/>
  <c r="Q42" i="26" s="1"/>
  <c r="I52" i="26"/>
  <c r="Q52" i="26" s="1"/>
  <c r="I22" i="26"/>
  <c r="Q22" i="26" s="1"/>
  <c r="I58" i="26"/>
  <c r="Q58" i="26" s="1"/>
  <c r="I19" i="26"/>
  <c r="Q19" i="26" s="1"/>
  <c r="I56" i="26"/>
  <c r="Q56" i="26" s="1"/>
  <c r="I9" i="26"/>
  <c r="Q9" i="26" s="1"/>
  <c r="I35" i="26"/>
  <c r="Q35" i="26" s="1"/>
  <c r="G6" i="24"/>
  <c r="J7" i="24"/>
  <c r="G7" i="24"/>
  <c r="I14" i="26"/>
  <c r="Q14" i="26" s="1"/>
  <c r="I25" i="26"/>
  <c r="Q25" i="26" s="1"/>
  <c r="I51" i="26"/>
  <c r="Q51" i="26" s="1"/>
  <c r="L13" i="26" l="1"/>
  <c r="L14" i="26"/>
  <c r="L11" i="26"/>
  <c r="D16" i="26"/>
  <c r="L15" i="26"/>
  <c r="L12" i="26"/>
  <c r="L10" i="26"/>
  <c r="AB53" i="24"/>
  <c r="AA6" i="24"/>
  <c r="AB6" i="24" s="1"/>
  <c r="D17" i="26" l="1"/>
  <c r="L16" i="26"/>
  <c r="D18" i="26" l="1"/>
  <c r="L17" i="26"/>
  <c r="D19" i="26" l="1"/>
  <c r="L18" i="26"/>
  <c r="D20" i="26" l="1"/>
  <c r="L19" i="26"/>
  <c r="D21" i="26" l="1"/>
  <c r="L20" i="26"/>
  <c r="D22" i="26" l="1"/>
  <c r="L21" i="26"/>
  <c r="D23" i="26" l="1"/>
  <c r="L22" i="26"/>
  <c r="L23" i="26" l="1"/>
  <c r="D24" i="26"/>
  <c r="D25" i="26" l="1"/>
  <c r="L24" i="26"/>
  <c r="L25" i="26" l="1"/>
  <c r="D26" i="26"/>
  <c r="D27" i="26" l="1"/>
  <c r="L26" i="26"/>
  <c r="D28" i="26" l="1"/>
  <c r="L27" i="26"/>
  <c r="L28" i="26" l="1"/>
  <c r="D29" i="26"/>
  <c r="D30" i="26" l="1"/>
  <c r="L29" i="26"/>
  <c r="D31" i="26" l="1"/>
  <c r="L30" i="26"/>
  <c r="D32" i="26" l="1"/>
  <c r="L31" i="26"/>
  <c r="D33" i="26" l="1"/>
  <c r="L32" i="26"/>
  <c r="D34" i="26" l="1"/>
  <c r="L33" i="26"/>
  <c r="D35" i="26" l="1"/>
  <c r="L34" i="26"/>
  <c r="D36" i="26" l="1"/>
  <c r="L35" i="26"/>
  <c r="D37" i="26" l="1"/>
  <c r="L36" i="26"/>
  <c r="D38" i="26" l="1"/>
  <c r="L37" i="26"/>
  <c r="D39" i="26" l="1"/>
  <c r="L38" i="26"/>
  <c r="D40" i="26" l="1"/>
  <c r="L39" i="26"/>
  <c r="D41" i="26" l="1"/>
  <c r="L40" i="26"/>
  <c r="L41" i="26" l="1"/>
  <c r="D42" i="26"/>
  <c r="D43" i="26" l="1"/>
  <c r="L42" i="26"/>
  <c r="D44" i="26" l="1"/>
  <c r="L43" i="26"/>
  <c r="D45" i="26" l="1"/>
  <c r="L44" i="26"/>
  <c r="D46" i="26" l="1"/>
  <c r="L45" i="26"/>
  <c r="D47" i="26" l="1"/>
  <c r="L46" i="26"/>
  <c r="D48" i="26" l="1"/>
  <c r="L47" i="26"/>
  <c r="L48" i="26" l="1"/>
  <c r="D49" i="26"/>
  <c r="D50" i="26" l="1"/>
  <c r="L49" i="26"/>
  <c r="D51" i="26" l="1"/>
  <c r="L50" i="26"/>
  <c r="D52" i="26" l="1"/>
  <c r="L51" i="26"/>
  <c r="D53" i="26" l="1"/>
  <c r="L52" i="26"/>
  <c r="D54" i="26" l="1"/>
  <c r="L53" i="26"/>
  <c r="D55" i="26" l="1"/>
  <c r="L54" i="26"/>
  <c r="D56" i="26" l="1"/>
  <c r="L55" i="26"/>
  <c r="D57" i="26" l="1"/>
  <c r="L56" i="26"/>
  <c r="D58" i="26" l="1"/>
  <c r="L57" i="26"/>
  <c r="D59" i="26" l="1"/>
  <c r="L58" i="26"/>
  <c r="D60" i="26" l="1"/>
  <c r="L60" i="26" s="1"/>
  <c r="L59" i="26"/>
</calcChain>
</file>

<file path=xl/comments1.xml><?xml version="1.0" encoding="utf-8"?>
<comments xmlns="http://schemas.openxmlformats.org/spreadsheetml/2006/main">
  <authors>
    <author>no8367c</author>
  </authors>
  <commentList>
    <comment ref="F6" authorId="0" shapeId="0">
      <text>
        <r>
          <rPr>
            <sz val="8"/>
            <color indexed="81"/>
            <rFont val="Tahoma"/>
            <family val="2"/>
          </rPr>
          <t>'Fast Arbeidsplan i POK, med korrekte grunndata, planlagt minimum 0,5% under periodisert lønns%'</t>
        </r>
      </text>
    </comment>
    <comment ref="F7" authorId="0" shapeId="0">
      <text>
        <r>
          <rPr>
            <sz val="8"/>
            <color indexed="81"/>
            <rFont val="Tahoma"/>
            <family val="2"/>
          </rPr>
          <t>'Sette svinnmål per uke_x000D_
Sette svinnmål per dag_x000D_
Daglig gå igjennom svinn med avd.leder_x000D_
Ukentlig gå igjennom svinn med avd.leder_x000D_
Topp3 skal bort hele veien!'</t>
        </r>
      </text>
    </comment>
    <comment ref="F8" authorId="0" shapeId="0">
      <text>
        <r>
          <rPr>
            <sz val="8"/>
            <color indexed="81"/>
            <rFont val="Tahoma"/>
            <family val="2"/>
          </rPr>
          <t>'Gjennomføre MAP for samtlige ansatte:_x000D_
_x000D_
Eigil: Ledergruppen_x000D_
Malin:Kasse_x000D_
Jens: Gulv_x000D_
Corsely: Frukt_x000D_
Rune: Meieri_x000D_
Rolf: Ferskvare_x000D_
Madde: Kasse_x000D_
_x000D_
70 ansatte / 7 Ledere = 10 pr leder'</t>
        </r>
      </text>
    </comment>
    <comment ref="F9" authorId="0" shapeId="0">
      <text>
        <r>
          <rPr>
            <sz val="8"/>
            <color indexed="81"/>
            <rFont val="Tahoma"/>
            <family val="2"/>
          </rPr>
          <t>'-Rydde opp, og fjerne alt løst på begge garderober._x000D_
-Låse alle skap, og merke med reglement._x000D_
-Daglig kontroll av garderober.  Ta alt som ligger løst_x000D_
'</t>
        </r>
      </text>
    </comment>
    <comment ref="F10" authorId="0" shapeId="0">
      <text>
        <r>
          <rPr>
            <sz val="8"/>
            <color indexed="81"/>
            <rFont val="Tahoma"/>
            <family val="2"/>
          </rPr>
          <t>'Bytte ut sjefsplassene slik at bruttokroner er den samme, men omsetningen er større._x000D_
Vurdere tilbudsvarer med +brutto, o.l.'</t>
        </r>
      </text>
    </comment>
    <comment ref="F11" authorId="0" shapeId="0">
      <text>
        <r>
          <rPr>
            <sz val="8"/>
            <color indexed="81"/>
            <rFont val="Tahoma"/>
            <family val="2"/>
          </rPr>
          <t>'Null erstatning av naturlig avgang.  Reallokering av oppgaver og ressurser.  Vurdere fjerning av 1 vareleveranse.  Implementere arbeidsplan på 1150 timer per uke.'</t>
        </r>
      </text>
    </comment>
    <comment ref="F12" authorId="0" shapeId="0">
      <text>
        <r>
          <rPr>
            <sz val="8"/>
            <color indexed="81"/>
            <rFont val="Tahoma"/>
            <family val="2"/>
          </rPr>
          <t>'Finne erstatter for Corsely'</t>
        </r>
      </text>
    </comment>
    <comment ref="F13" authorId="0" shapeId="0">
      <text>
        <r>
          <rPr>
            <sz val="8"/>
            <color indexed="81"/>
            <rFont val="Tahoma"/>
            <family val="2"/>
          </rPr>
          <t>'Oppdatere svinn-tavlen._x000D_
Innføre daglig sekundering med avdelingsansvarlig_x000D_
'</t>
        </r>
      </text>
    </comment>
  </commentList>
</comments>
</file>

<file path=xl/comments2.xml><?xml version="1.0" encoding="utf-8"?>
<comments xmlns="http://schemas.openxmlformats.org/spreadsheetml/2006/main">
  <authors>
    <author>Kirkhus, Per Magne</author>
  </authors>
  <commentList>
    <comment ref="D6" authorId="0" shapeId="0">
      <text>
        <r>
          <rPr>
            <sz val="9"/>
            <color indexed="81"/>
            <rFont val="Tahoma"/>
            <family val="2"/>
          </rPr>
          <t>'12 av 12 registrert '</t>
        </r>
      </text>
    </comment>
    <comment ref="D7" authorId="0" shapeId="0">
      <text>
        <r>
          <rPr>
            <sz val="9"/>
            <color indexed="81"/>
            <rFont val="Tahoma"/>
            <family val="2"/>
          </rPr>
          <t>'13 av 13 registrert '</t>
        </r>
      </text>
    </comment>
  </commentList>
</comments>
</file>

<file path=xl/comments3.xml><?xml version="1.0" encoding="utf-8"?>
<comments xmlns="http://schemas.openxmlformats.org/spreadsheetml/2006/main">
  <authors>
    <author>no8367c</author>
    <author>Rognan, Eigil</author>
  </authors>
  <commentList>
    <comment ref="B2" authorId="0" shapeId="0">
      <text>
        <r>
          <rPr>
            <b/>
            <sz val="8"/>
            <color indexed="81"/>
            <rFont val="Tahoma"/>
            <family val="2"/>
          </rPr>
          <t>no8367c:</t>
        </r>
        <r>
          <rPr>
            <sz val="8"/>
            <color indexed="81"/>
            <rFont val="Tahoma"/>
            <family val="2"/>
          </rPr>
          <t xml:space="preserve">
Din faktiske omsetning i 2011.</t>
        </r>
      </text>
    </comment>
    <comment ref="C2" authorId="0" shapeId="0">
      <text>
        <r>
          <rPr>
            <b/>
            <sz val="8"/>
            <color indexed="81"/>
            <rFont val="Tahoma"/>
            <family val="2"/>
          </rPr>
          <t>no8367c:</t>
        </r>
        <r>
          <rPr>
            <sz val="8"/>
            <color indexed="81"/>
            <rFont val="Tahoma"/>
            <family val="2"/>
          </rPr>
          <t xml:space="preserve">
Den uperiodiserte omsetningen som ligger i P&amp;L i dag.</t>
        </r>
      </text>
    </comment>
    <comment ref="D2" authorId="0" shapeId="0">
      <text>
        <r>
          <rPr>
            <b/>
            <sz val="8"/>
            <color indexed="81"/>
            <rFont val="Tahoma"/>
            <family val="2"/>
          </rPr>
          <t>no8367c:</t>
        </r>
        <r>
          <rPr>
            <sz val="8"/>
            <color indexed="81"/>
            <rFont val="Tahoma"/>
            <family val="2"/>
          </rPr>
          <t xml:space="preserve">
Din faktiske omsetning i 2012</t>
        </r>
      </text>
    </comment>
    <comment ref="F2" authorId="0" shapeId="0">
      <text>
        <r>
          <rPr>
            <b/>
            <sz val="8"/>
            <color indexed="81"/>
            <rFont val="Tahoma"/>
            <family val="2"/>
          </rPr>
          <t>no8367c:</t>
        </r>
        <r>
          <rPr>
            <sz val="8"/>
            <color indexed="81"/>
            <rFont val="Tahoma"/>
            <family val="2"/>
          </rPr>
          <t xml:space="preserve">
Basert på omsetningsbevegelsene i DIN butikk for 2012 har jeg laget en gjetning.  TA IKKE DETTE FOR Å VÆRE GODT NOK, men bruk den som et utgangspunkt.  Har butikken din vært preget av konkurrenter, stengeperioder o.l. må du passe ekstra på.
NB!! Mangler du registrerte omsetningsuker for 2012 må du først registrere denne uken på vanlig måte i FokusX.  (Slik som den ukentlige innrapporteringen)
Riktig periodisering av OMSETNING er grunnlaget for ALT.</t>
        </r>
      </text>
    </comment>
    <comment ref="G2" authorId="0" shapeId="0">
      <text>
        <r>
          <rPr>
            <b/>
            <sz val="8"/>
            <color indexed="81"/>
            <rFont val="Tahoma"/>
            <family val="2"/>
          </rPr>
          <t>no8367c:</t>
        </r>
        <r>
          <rPr>
            <sz val="8"/>
            <color indexed="81"/>
            <rFont val="Tahoma"/>
            <family val="2"/>
          </rPr>
          <t xml:space="preserve">
Her legger du inn antall omsetningkroner du ønsker opp eller ned i forhold til "gjetningen".  
Husk at hvis du skal korrigere ned omsetningen må du skrive minustegn foran ( - )
Vi får ikke endret på det totale budsjettet på året, så dersom du korrigerer en uke opp, må du korrigere den samme summen ned over en eller flere andre uker.</t>
        </r>
      </text>
    </comment>
    <comment ref="H2" authorId="0" shapeId="0">
      <text>
        <r>
          <rPr>
            <b/>
            <sz val="8"/>
            <color indexed="81"/>
            <rFont val="Tahoma"/>
            <family val="2"/>
          </rPr>
          <t>no8367c:</t>
        </r>
        <r>
          <rPr>
            <sz val="8"/>
            <color indexed="81"/>
            <rFont val="Tahoma"/>
            <family val="2"/>
          </rPr>
          <t xml:space="preserve">
Dette er beløpet som vil bli lest inn som ditt periodiserte budsjett for 2013</t>
        </r>
      </text>
    </comment>
    <comment ref="I2" authorId="0" shapeId="0">
      <text>
        <r>
          <rPr>
            <b/>
            <sz val="8"/>
            <color indexed="81"/>
            <rFont val="Tahoma"/>
            <family val="2"/>
          </rPr>
          <t>no8367c:</t>
        </r>
        <r>
          <rPr>
            <sz val="8"/>
            <color indexed="81"/>
            <rFont val="Tahoma"/>
            <family val="2"/>
          </rPr>
          <t xml:space="preserve">
For å gi deg litt støtteopplysninger for budsjetteringen av lønn, har jeg hentet frem lønnskostnadene du har innraportert til alle telefonmøtene i 2012.
Mangler det opplysninger her, er det fordi den eller de ukene ikke er registrert i FokusX.</t>
        </r>
      </text>
    </comment>
    <comment ref="K2" authorId="0" shapeId="0">
      <text>
        <r>
          <rPr>
            <b/>
            <sz val="8"/>
            <color indexed="81"/>
            <rFont val="Tahoma"/>
            <family val="2"/>
          </rPr>
          <t>no8367c:</t>
        </r>
        <r>
          <rPr>
            <sz val="8"/>
            <color indexed="81"/>
            <rFont val="Tahoma"/>
            <family val="2"/>
          </rPr>
          <t xml:space="preserve">
Her står det lønnsbudsjettet i KRONER som er i ditt originale uperiodiserte lønnsbudsjett for 2013.
Lønnsprosenten per uke i denne kolonnen er de originale lønnskronene målt mot ditt nye periodiserte omsetningsbudsjett.  Det vil derfor se annerledes ut i denne sammenhengen, enn du kanskje har sett det før.</t>
        </r>
      </text>
    </comment>
    <comment ref="M2" authorId="0" shapeId="0">
      <text>
        <r>
          <rPr>
            <b/>
            <sz val="8"/>
            <color indexed="81"/>
            <rFont val="Tahoma"/>
            <family val="2"/>
          </rPr>
          <t>no8367c:</t>
        </r>
        <r>
          <rPr>
            <sz val="8"/>
            <color indexed="81"/>
            <rFont val="Tahoma"/>
            <family val="2"/>
          </rPr>
          <t xml:space="preserve">
Her kommer vi til periodiseringen av lønn per uke.
MAX Timer beregnes her automatisk basert på snittlønnen du legger inn i kolonnen til høyre, og hvor mange ekstratimer/mindre timer du har korrigert i enkeltukene i din periodisering.
Dette timeantallet er IKKE det antall timer du kan legge opp i en arbeidsplan, men det MAXIMALE antall timer inkludert sykdom, opplæring etc man kan bruke i gjennomsnitt per uke.  Med andre ord, din arbeidsplan må være et stykke under dette tallet.</t>
        </r>
      </text>
    </comment>
    <comment ref="N2" authorId="0" shapeId="0">
      <text>
        <r>
          <rPr>
            <b/>
            <sz val="8"/>
            <color indexed="81"/>
            <rFont val="Tahoma"/>
            <family val="2"/>
          </rPr>
          <t>no8367c:</t>
        </r>
        <r>
          <rPr>
            <sz val="8"/>
            <color indexed="81"/>
            <rFont val="Tahoma"/>
            <family val="2"/>
          </rPr>
          <t xml:space="preserve">
Dette er din nåværende snittkostnad per arbeidede time.  (KPAT eller Snittlønn)
Det er uhyre viktig at du kanskje overdriver denne litt i forhold til hva du mener den er.  (Se i POK)  Hvis du estimerer for lav KPAT, så blir hver arbeidstime billigere, og dersom du begynner å innrette deg etter det antall timer du i så fall har råd til - kan du FORT ende opp med å bli for dyr.
Legg inn din litt overdrevne estimerte KPAT i den første røde celleraden
</t>
        </r>
      </text>
    </comment>
    <comment ref="O2" authorId="0" shapeId="0">
      <text>
        <r>
          <rPr>
            <b/>
            <sz val="8"/>
            <color indexed="81"/>
            <rFont val="Tahoma"/>
            <family val="2"/>
          </rPr>
          <t>no8367c:</t>
        </r>
        <r>
          <rPr>
            <sz val="8"/>
            <color indexed="81"/>
            <rFont val="Tahoma"/>
            <family val="2"/>
          </rPr>
          <t xml:space="preserve">
Her må du legge inn antall timer i tillegg til eller mindre enn grunnbemanningen du synes du vil periodisere.
Her er det viktig å få med seg ALLE de spesielle ukene som drar opp kostnadene, slik at du i sluttenden får en grunnbemanning som du har råd til med alle disse ekstratimene
</t>
        </r>
      </text>
    </comment>
    <comment ref="C3" authorId="1" shapeId="0">
      <text>
        <r>
          <rPr>
            <b/>
            <sz val="9"/>
            <color indexed="81"/>
            <rFont val="Tahoma"/>
            <family val="2"/>
          </rPr>
          <t>Rognan, Eigil:</t>
        </r>
        <r>
          <rPr>
            <sz val="9"/>
            <color indexed="81"/>
            <rFont val="Tahoma"/>
            <family val="2"/>
          </rPr>
          <t xml:space="preserve">
1 Salgsdag</t>
        </r>
      </text>
    </comment>
    <comment ref="F3" authorId="1" shapeId="0">
      <text>
        <r>
          <rPr>
            <b/>
            <sz val="9"/>
            <color indexed="81"/>
            <rFont val="Tahoma"/>
            <family val="2"/>
          </rPr>
          <t>Rognan, Eigil:</t>
        </r>
        <r>
          <rPr>
            <sz val="9"/>
            <color indexed="81"/>
            <rFont val="Tahoma"/>
            <family val="2"/>
          </rPr>
          <t xml:space="preserve">
1 Salgsdag
</t>
        </r>
      </text>
    </comment>
    <comment ref="B4" authorId="1" shapeId="0">
      <text>
        <r>
          <rPr>
            <b/>
            <sz val="9"/>
            <color indexed="81"/>
            <rFont val="Tahoma"/>
            <family val="2"/>
          </rPr>
          <t>Rognan, Eigil:</t>
        </r>
        <r>
          <rPr>
            <sz val="9"/>
            <color indexed="81"/>
            <rFont val="Tahoma"/>
            <family val="2"/>
          </rPr>
          <t xml:space="preserve">
3 Salgsdager</t>
        </r>
      </text>
    </comment>
    <comment ref="D4" authorId="1" shapeId="0">
      <text>
        <r>
          <rPr>
            <b/>
            <sz val="9"/>
            <color indexed="81"/>
            <rFont val="Tahoma"/>
            <family val="2"/>
          </rPr>
          <t>Rognan, Eigil:</t>
        </r>
        <r>
          <rPr>
            <sz val="9"/>
            <color indexed="81"/>
            <rFont val="Tahoma"/>
            <family val="2"/>
          </rPr>
          <t xml:space="preserve">
2 Salgsdager</t>
        </r>
      </text>
    </comment>
    <comment ref="B5" authorId="1" shapeId="0">
      <text>
        <r>
          <rPr>
            <b/>
            <sz val="9"/>
            <color indexed="81"/>
            <rFont val="Tahoma"/>
            <family val="2"/>
          </rPr>
          <t>Rognan, Eigil:</t>
        </r>
        <r>
          <rPr>
            <sz val="9"/>
            <color indexed="81"/>
            <rFont val="Tahoma"/>
            <family val="2"/>
          </rPr>
          <t xml:space="preserve">
10kr Marked</t>
        </r>
      </text>
    </comment>
    <comment ref="D5" authorId="1" shapeId="0">
      <text>
        <r>
          <rPr>
            <b/>
            <sz val="9"/>
            <color indexed="81"/>
            <rFont val="Tahoma"/>
            <family val="2"/>
          </rPr>
          <t>Rognan, Eigil:</t>
        </r>
        <r>
          <rPr>
            <sz val="9"/>
            <color indexed="81"/>
            <rFont val="Tahoma"/>
            <family val="2"/>
          </rPr>
          <t xml:space="preserve">
10kr marked
</t>
        </r>
      </text>
    </comment>
    <comment ref="B21" authorId="1" shapeId="0">
      <text>
        <r>
          <rPr>
            <b/>
            <sz val="9"/>
            <color indexed="81"/>
            <rFont val="Tahoma"/>
            <family val="2"/>
          </rPr>
          <t>Rognan, Eigil:</t>
        </r>
        <r>
          <rPr>
            <sz val="9"/>
            <color indexed="81"/>
            <rFont val="Tahoma"/>
            <family val="2"/>
          </rPr>
          <t xml:space="preserve">
Stengt Torsdag 1. Mai</t>
        </r>
      </text>
    </comment>
    <comment ref="D21" authorId="1" shapeId="0">
      <text>
        <r>
          <rPr>
            <b/>
            <sz val="9"/>
            <color indexed="81"/>
            <rFont val="Tahoma"/>
            <family val="2"/>
          </rPr>
          <t>Rognan, Eigil:</t>
        </r>
        <r>
          <rPr>
            <sz val="9"/>
            <color indexed="81"/>
            <rFont val="Tahoma"/>
            <family val="2"/>
          </rPr>
          <t xml:space="preserve">
Stengt - Fredag 1. Mai</t>
        </r>
      </text>
    </comment>
    <comment ref="F21" authorId="1" shapeId="0">
      <text>
        <r>
          <rPr>
            <b/>
            <sz val="9"/>
            <color indexed="81"/>
            <rFont val="Tahoma"/>
            <family val="2"/>
          </rPr>
          <t>Rognan, Eigil:</t>
        </r>
        <r>
          <rPr>
            <sz val="9"/>
            <color indexed="81"/>
            <rFont val="Tahoma"/>
            <family val="2"/>
          </rPr>
          <t xml:space="preserve">
Stengt torsdag - kr.himmelfart</t>
        </r>
      </text>
    </comment>
    <comment ref="F22" authorId="1" shapeId="0">
      <text>
        <r>
          <rPr>
            <b/>
            <sz val="9"/>
            <color indexed="81"/>
            <rFont val="Tahoma"/>
            <family val="2"/>
          </rPr>
          <t>Rognan, Eigil:</t>
        </r>
        <r>
          <rPr>
            <sz val="9"/>
            <color indexed="81"/>
            <rFont val="Tahoma"/>
            <family val="2"/>
          </rPr>
          <t xml:space="preserve">
Pinseaften lørdag, og 17-mai handel (17.mai = 3. pinsedag i påfølgende uke)</t>
        </r>
      </text>
    </comment>
    <comment ref="B23" authorId="1" shapeId="0">
      <text>
        <r>
          <rPr>
            <b/>
            <sz val="9"/>
            <color indexed="81"/>
            <rFont val="Tahoma"/>
            <family val="2"/>
          </rPr>
          <t>Rognan, Eigil:</t>
        </r>
        <r>
          <rPr>
            <sz val="9"/>
            <color indexed="81"/>
            <rFont val="Tahoma"/>
            <family val="2"/>
          </rPr>
          <t xml:space="preserve">
17. Mai - Lørdag</t>
        </r>
      </text>
    </comment>
    <comment ref="D23" authorId="1" shapeId="0">
      <text>
        <r>
          <rPr>
            <b/>
            <sz val="9"/>
            <color indexed="81"/>
            <rFont val="Tahoma"/>
            <family val="2"/>
          </rPr>
          <t>Rognan, Eigil:</t>
        </r>
        <r>
          <rPr>
            <sz val="9"/>
            <color indexed="81"/>
            <rFont val="Tahoma"/>
            <family val="2"/>
          </rPr>
          <t xml:space="preserve">
17. Mai - Søndag
Stengt torsdag, kr.himmelfart</t>
        </r>
      </text>
    </comment>
    <comment ref="F23" authorId="1" shapeId="0">
      <text>
        <r>
          <rPr>
            <b/>
            <sz val="9"/>
            <color indexed="81"/>
            <rFont val="Tahoma"/>
            <family val="2"/>
          </rPr>
          <t>Rognan, Eigil:</t>
        </r>
        <r>
          <rPr>
            <sz val="9"/>
            <color indexed="81"/>
            <rFont val="Tahoma"/>
            <family val="2"/>
          </rPr>
          <t xml:space="preserve">
Stengt mandag 2.Pinsedag
Stengt Tirsdag - 17'mai
</t>
        </r>
      </text>
    </comment>
    <comment ref="B25" authorId="1" shapeId="0">
      <text>
        <r>
          <rPr>
            <b/>
            <sz val="9"/>
            <color indexed="81"/>
            <rFont val="Tahoma"/>
            <family val="2"/>
          </rPr>
          <t>Rognan, Eigil:</t>
        </r>
        <r>
          <rPr>
            <sz val="9"/>
            <color indexed="81"/>
            <rFont val="Tahoma"/>
            <family val="2"/>
          </rPr>
          <t xml:space="preserve">
Stengt Torsdag - Kr. Himmelfart</t>
        </r>
      </text>
    </comment>
    <comment ref="D25" authorId="1" shapeId="0">
      <text>
        <r>
          <rPr>
            <b/>
            <sz val="9"/>
            <color indexed="81"/>
            <rFont val="Tahoma"/>
            <family val="2"/>
          </rPr>
          <t>Rognan, Eigil:</t>
        </r>
        <r>
          <rPr>
            <sz val="9"/>
            <color indexed="81"/>
            <rFont val="Tahoma"/>
            <family val="2"/>
          </rPr>
          <t xml:space="preserve">
Stengt mandag - 2.Pinsedag</t>
        </r>
      </text>
    </comment>
    <comment ref="B27" authorId="1" shapeId="0">
      <text>
        <r>
          <rPr>
            <b/>
            <sz val="9"/>
            <color indexed="81"/>
            <rFont val="Tahoma"/>
            <family val="2"/>
          </rPr>
          <t>Rognan, Eigil:</t>
        </r>
        <r>
          <rPr>
            <sz val="9"/>
            <color indexed="81"/>
            <rFont val="Tahoma"/>
            <family val="2"/>
          </rPr>
          <t xml:space="preserve">
Stengt Mandag - 2.Pinsedag</t>
        </r>
      </text>
    </comment>
    <comment ref="F55" authorId="1" shapeId="0">
      <text>
        <r>
          <rPr>
            <b/>
            <sz val="9"/>
            <color indexed="81"/>
            <rFont val="Tahoma"/>
            <family val="2"/>
          </rPr>
          <t>Rognan, Eigil:</t>
        </r>
        <r>
          <rPr>
            <sz val="9"/>
            <color indexed="81"/>
            <rFont val="Tahoma"/>
            <family val="2"/>
          </rPr>
          <t xml:space="preserve">
Stengt Mandag - 2.Juledag
5. Salgsdager - Nyttårsaften Lørdag</t>
        </r>
      </text>
    </comment>
    <comment ref="B56" authorId="1" shapeId="0">
      <text>
        <r>
          <rPr>
            <b/>
            <sz val="9"/>
            <color indexed="81"/>
            <rFont val="Tahoma"/>
            <family val="2"/>
          </rPr>
          <t>Rognan, Eigil:</t>
        </r>
        <r>
          <rPr>
            <sz val="9"/>
            <color indexed="81"/>
            <rFont val="Tahoma"/>
            <family val="2"/>
          </rPr>
          <t xml:space="preserve">
3 salgsdager</t>
        </r>
      </text>
    </comment>
    <comment ref="D56" authorId="1" shapeId="0">
      <text>
        <r>
          <rPr>
            <b/>
            <sz val="9"/>
            <color indexed="81"/>
            <rFont val="Tahoma"/>
            <family val="2"/>
          </rPr>
          <t>Rognan, Eigil:</t>
        </r>
        <r>
          <rPr>
            <sz val="9"/>
            <color indexed="81"/>
            <rFont val="Tahoma"/>
            <family val="2"/>
          </rPr>
          <t xml:space="preserve">
4 salgsdager</t>
        </r>
      </text>
    </comment>
  </commentList>
</comments>
</file>

<file path=xl/sharedStrings.xml><?xml version="1.0" encoding="utf-8"?>
<sst xmlns="http://schemas.openxmlformats.org/spreadsheetml/2006/main" count="974" uniqueCount="474">
  <si>
    <t>Uke</t>
  </si>
  <si>
    <t>Bud Oms</t>
  </si>
  <si>
    <t>Netto Oms</t>
  </si>
  <si>
    <t>Bud %</t>
  </si>
  <si>
    <t>Real %</t>
  </si>
  <si>
    <t>Lønn</t>
  </si>
  <si>
    <t>Svinn</t>
  </si>
  <si>
    <t>Markdown</t>
  </si>
  <si>
    <t>Oms</t>
  </si>
  <si>
    <t>BO Brutto %</t>
  </si>
  <si>
    <t>Butikksjefens kommentar</t>
  </si>
  <si>
    <t>Actionlogg</t>
  </si>
  <si>
    <t>Antall</t>
  </si>
  <si>
    <t>Salg</t>
  </si>
  <si>
    <t>Ukens Status</t>
  </si>
  <si>
    <t>Tiltakstimer pr uke for BreakEven:</t>
  </si>
  <si>
    <t>Netto Omsetning</t>
  </si>
  <si>
    <t>LønnsTimer</t>
  </si>
  <si>
    <t>LønnsKostnad</t>
  </si>
  <si>
    <t>Lønns %</t>
  </si>
  <si>
    <t>OPAT</t>
  </si>
  <si>
    <t>KPAT</t>
  </si>
  <si>
    <t>Budsjett</t>
  </si>
  <si>
    <t>Realisert</t>
  </si>
  <si>
    <t>Kunne Brukt</t>
  </si>
  <si>
    <t>Nytt Bud Kr</t>
  </si>
  <si>
    <t>Nytt Bud %</t>
  </si>
  <si>
    <t>TOT</t>
  </si>
  <si>
    <t>Til Tlf Møte</t>
  </si>
  <si>
    <t>Omsetning</t>
  </si>
  <si>
    <t>Lønnskroner</t>
  </si>
  <si>
    <t>SIMULERING</t>
  </si>
  <si>
    <t>Per Uke</t>
  </si>
  <si>
    <t>Akkumulert</t>
  </si>
  <si>
    <t>Lønn KR</t>
  </si>
  <si>
    <t>Forbrukssimulator - Omperiodisering av lønnskostnader</t>
  </si>
  <si>
    <t>CurrentStore</t>
  </si>
  <si>
    <t>CurrentStoreName</t>
  </si>
  <si>
    <t>CurrentYear</t>
  </si>
  <si>
    <t>Mitt Distrikt - Ukeresultater</t>
  </si>
  <si>
    <t>Avd</t>
  </si>
  <si>
    <t>Butikk</t>
  </si>
  <si>
    <t>Min Region - Ukeresultater</t>
  </si>
  <si>
    <t>KR Avvik</t>
  </si>
  <si>
    <t>BO Brutto</t>
  </si>
  <si>
    <t>Back- logg</t>
  </si>
  <si>
    <t>Bet Sykdom</t>
  </si>
  <si>
    <t>Opat</t>
  </si>
  <si>
    <t>Benchmarking</t>
  </si>
  <si>
    <t>Kr Avvik</t>
  </si>
  <si>
    <t>Margin</t>
  </si>
  <si>
    <t>HIÅ</t>
  </si>
  <si>
    <t>Forecast Lønn</t>
  </si>
  <si>
    <t>Forecast Svinn</t>
  </si>
  <si>
    <t>Dette året</t>
  </si>
  <si>
    <t>Fjoråret</t>
  </si>
  <si>
    <t>AKK  D.Å</t>
  </si>
  <si>
    <t>AKK L.Y</t>
  </si>
  <si>
    <t>Grafisk Fremstilling</t>
  </si>
  <si>
    <t>Sykdom</t>
  </si>
  <si>
    <t>Totaltimer</t>
  </si>
  <si>
    <t>Fravær %</t>
  </si>
  <si>
    <t>Sykefraværsstatistikk</t>
  </si>
  <si>
    <t>8367</t>
  </si>
  <si>
    <t>ICA Storo</t>
  </si>
  <si>
    <t>8327</t>
  </si>
  <si>
    <t>ICA Ullevål</t>
  </si>
  <si>
    <t>8602</t>
  </si>
  <si>
    <t>ICA Vinderen</t>
  </si>
  <si>
    <t>8619</t>
  </si>
  <si>
    <t>ICA Sandaker</t>
  </si>
  <si>
    <t>8616</t>
  </si>
  <si>
    <t>ICA Brotorvet</t>
  </si>
  <si>
    <t>8637</t>
  </si>
  <si>
    <t>ICA Sørumsand</t>
  </si>
  <si>
    <t>6161</t>
  </si>
  <si>
    <t>ICA Nær Steen &amp; Strøm</t>
  </si>
  <si>
    <t>6173</t>
  </si>
  <si>
    <t>ICA Nær Østbanen</t>
  </si>
  <si>
    <t>8008</t>
  </si>
  <si>
    <t>ICA Frogner</t>
  </si>
  <si>
    <t>8009</t>
  </si>
  <si>
    <t>ICA Aker Brygge</t>
  </si>
  <si>
    <t>8304</t>
  </si>
  <si>
    <t>ICA Karenslyst Alle</t>
  </si>
  <si>
    <t>8356</t>
  </si>
  <si>
    <t>ICA Linderud</t>
  </si>
  <si>
    <t>8612</t>
  </si>
  <si>
    <t>ICA Huseby</t>
  </si>
  <si>
    <t>8613</t>
  </si>
  <si>
    <t>ICA Theresesgate</t>
  </si>
  <si>
    <t>8628</t>
  </si>
  <si>
    <t>ICA Alex Kiellands plass</t>
  </si>
  <si>
    <t>8633</t>
  </si>
  <si>
    <t>ICA Hasle Torg</t>
  </si>
  <si>
    <t>8640</t>
  </si>
  <si>
    <t>ICA Sjølyst</t>
  </si>
  <si>
    <t>8618</t>
  </si>
  <si>
    <t>ICA Mortensrud</t>
  </si>
  <si>
    <t>8979</t>
  </si>
  <si>
    <t>ICA Nittedal</t>
  </si>
  <si>
    <t>8643</t>
  </si>
  <si>
    <t>ICA Moss</t>
  </si>
  <si>
    <t>8606</t>
  </si>
  <si>
    <t>ICA Berjasenteret</t>
  </si>
  <si>
    <t>8645</t>
  </si>
  <si>
    <t>ICA Tønsberg</t>
  </si>
  <si>
    <t>8630</t>
  </si>
  <si>
    <t>ICA Sagene</t>
  </si>
  <si>
    <t>8603</t>
  </si>
  <si>
    <t>ICA Gjøvik</t>
  </si>
  <si>
    <t>8617</t>
  </si>
  <si>
    <t>ICA Haugtun</t>
  </si>
  <si>
    <t>8605</t>
  </si>
  <si>
    <t>ICA Langhus</t>
  </si>
  <si>
    <t>8622</t>
  </si>
  <si>
    <t>ICA Vikersund</t>
  </si>
  <si>
    <t>8626</t>
  </si>
  <si>
    <t>ICA Olsrød</t>
  </si>
  <si>
    <t>8623</t>
  </si>
  <si>
    <t>ICA Søre Ål</t>
  </si>
  <si>
    <t>4230</t>
  </si>
  <si>
    <t>ICA Søgne</t>
  </si>
  <si>
    <t>5967</t>
  </si>
  <si>
    <t>ICA Nær Vågen</t>
  </si>
  <si>
    <t>8632</t>
  </si>
  <si>
    <t>ICA Borgåsen</t>
  </si>
  <si>
    <t>4202</t>
  </si>
  <si>
    <t>ICA Tjensvoll</t>
  </si>
  <si>
    <t>8638</t>
  </si>
  <si>
    <t>ICA Notodden</t>
  </si>
  <si>
    <t>8614</t>
  </si>
  <si>
    <t>ICA Glommen Brygge</t>
  </si>
  <si>
    <t>8639</t>
  </si>
  <si>
    <t>ICA Birkelunden</t>
  </si>
  <si>
    <t>8607</t>
  </si>
  <si>
    <t>ICA Hvaltorvet</t>
  </si>
  <si>
    <t>8641</t>
  </si>
  <si>
    <t>ICA Drammen</t>
  </si>
  <si>
    <t>4201</t>
  </si>
  <si>
    <t>ICA Støperigården</t>
  </si>
  <si>
    <t>8625</t>
  </si>
  <si>
    <t>ICA Prinsdal</t>
  </si>
  <si>
    <t>8610</t>
  </si>
  <si>
    <t>ICA Holmen</t>
  </si>
  <si>
    <t>8608</t>
  </si>
  <si>
    <t>ICA Horten</t>
  </si>
  <si>
    <t>6193</t>
  </si>
  <si>
    <t>ICA Nær Sandvika Storsenter</t>
  </si>
  <si>
    <t>8644</t>
  </si>
  <si>
    <t>ICA Porsgrunn</t>
  </si>
  <si>
    <t>8604</t>
  </si>
  <si>
    <t>ICA Hellerud</t>
  </si>
  <si>
    <t>Gjennomsnitt</t>
  </si>
  <si>
    <t>Benchmarking Supermarked</t>
  </si>
  <si>
    <t>Benchmarking Nær</t>
  </si>
  <si>
    <t>Mitt Distrikt - Hittil i år</t>
  </si>
  <si>
    <t>Bruttofortjeneste</t>
  </si>
  <si>
    <t>%</t>
  </si>
  <si>
    <t>8611</t>
  </si>
  <si>
    <t>ICA Slependen</t>
  </si>
  <si>
    <t>Erling Sørensen</t>
  </si>
  <si>
    <t>1</t>
  </si>
  <si>
    <t>-Sykdom på 37,50 timer, som måtte erstattes.  skal trekkes 805 kr  fra svinn på grunn av retur og kreditt. Total svinn blir -9116.</t>
  </si>
  <si>
    <t>-</t>
  </si>
  <si>
    <t>-Brukt 85 timer på opplæring av ferskvare 2 nye deltids ansatte  1 ferskvare deltid og  en nye låseansvarlig .</t>
  </si>
  <si>
    <t>-Havari frys kr 6058</t>
  </si>
  <si>
    <t>----</t>
  </si>
  <si>
    <t>-Kjølehavari lørdag: kr 155433 i tillegg i svinn</t>
  </si>
  <si>
    <t xml:space="preserve">-Høye arb.kostnader pga. opplæring og 2 personalmøte i to avdelinger. Er litt mye pakket kjøtt på svinn, dette er tatt opp med kjøttansvarlig. </t>
  </si>
  <si>
    <t>4221</t>
  </si>
  <si>
    <t>ICA Sotra</t>
  </si>
  <si>
    <t>4222</t>
  </si>
  <si>
    <t>ICA Askøy</t>
  </si>
  <si>
    <t>4223</t>
  </si>
  <si>
    <t>ICA Sandsli</t>
  </si>
  <si>
    <t>4224</t>
  </si>
  <si>
    <t>ICA Gullgruven</t>
  </si>
  <si>
    <t>4225</t>
  </si>
  <si>
    <t>ICA Nordås</t>
  </si>
  <si>
    <t>4227</t>
  </si>
  <si>
    <t>ICA Maaseskjæret</t>
  </si>
  <si>
    <t>4229</t>
  </si>
  <si>
    <t>ICA Knarvik</t>
  </si>
  <si>
    <t>4289</t>
  </si>
  <si>
    <t>ICA Karmsundgata</t>
  </si>
  <si>
    <t>4241</t>
  </si>
  <si>
    <t>ICA Nardo</t>
  </si>
  <si>
    <t>4243</t>
  </si>
  <si>
    <t>ICA Migosenteret</t>
  </si>
  <si>
    <t>4244</t>
  </si>
  <si>
    <t>ICA Tempe</t>
  </si>
  <si>
    <t>4250</t>
  </si>
  <si>
    <t>ICA Nyrud</t>
  </si>
  <si>
    <t>4279</t>
  </si>
  <si>
    <t>ICA Mo</t>
  </si>
  <si>
    <t>4281</t>
  </si>
  <si>
    <t>ICA Orkanger</t>
  </si>
  <si>
    <t>4287</t>
  </si>
  <si>
    <t>ICA Melhus</t>
  </si>
  <si>
    <t>4288</t>
  </si>
  <si>
    <t>ICA Stjørdal</t>
  </si>
  <si>
    <t>6705</t>
  </si>
  <si>
    <t>ICA Moldeliveien</t>
  </si>
  <si>
    <t>4253</t>
  </si>
  <si>
    <t>ICA Koch</t>
  </si>
  <si>
    <t>4257</t>
  </si>
  <si>
    <t>ICA Finnbekken</t>
  </si>
  <si>
    <t>4258</t>
  </si>
  <si>
    <t>ICA Langnes</t>
  </si>
  <si>
    <t>4259</t>
  </si>
  <si>
    <t>ICA Stakkevollan</t>
  </si>
  <si>
    <t>4266</t>
  </si>
  <si>
    <t>ICA Bossekop</t>
  </si>
  <si>
    <t>4267</t>
  </si>
  <si>
    <t>ICA Alta</t>
  </si>
  <si>
    <t>4285</t>
  </si>
  <si>
    <t>ICA Kanebogen</t>
  </si>
  <si>
    <t>4290</t>
  </si>
  <si>
    <t>ICA Fauske</t>
  </si>
  <si>
    <t>4291</t>
  </si>
  <si>
    <t>ICA Sortland</t>
  </si>
  <si>
    <t>7067</t>
  </si>
  <si>
    <t>ICA Hammerfest</t>
  </si>
  <si>
    <t>6181</t>
  </si>
  <si>
    <t>ICA Nær Gimle</t>
  </si>
  <si>
    <t>6509</t>
  </si>
  <si>
    <t>ICA Nær Grensen (F)</t>
  </si>
  <si>
    <t>6576</t>
  </si>
  <si>
    <t>ICA Nær Ljabru (F)</t>
  </si>
  <si>
    <t>8646</t>
  </si>
  <si>
    <t>ICA Hamar</t>
  </si>
  <si>
    <t>4203</t>
  </si>
  <si>
    <t>ICA Kilden</t>
  </si>
  <si>
    <t>4204</t>
  </si>
  <si>
    <t>ICA Gausel</t>
  </si>
  <si>
    <t>4208</t>
  </si>
  <si>
    <t>ICA Maxis</t>
  </si>
  <si>
    <t>4209</t>
  </si>
  <si>
    <t>ICA Vågsbygd</t>
  </si>
  <si>
    <t>4215</t>
  </si>
  <si>
    <t>ICA Odden</t>
  </si>
  <si>
    <t>4216</t>
  </si>
  <si>
    <t>ICA Mandal</t>
  </si>
  <si>
    <t>4218</t>
  </si>
  <si>
    <t>ICA Egersund</t>
  </si>
  <si>
    <t>4231</t>
  </si>
  <si>
    <t>ICA Dvergsnes</t>
  </si>
  <si>
    <t>4233</t>
  </si>
  <si>
    <t>ICA Lura</t>
  </si>
  <si>
    <t>8642</t>
  </si>
  <si>
    <t>ICA Lund</t>
  </si>
  <si>
    <t>6570</t>
  </si>
  <si>
    <t>ICA Nær Slemdal (F)</t>
  </si>
  <si>
    <t>8636</t>
  </si>
  <si>
    <t>ICA Hønefoss</t>
  </si>
  <si>
    <t>-Svinn skyldes øl for 2500 kr som gått på dato, og resten gick på frukt(Ica Skolen)</t>
  </si>
  <si>
    <t>-105 timer sykdom, 37,5 timer opplæring</t>
  </si>
  <si>
    <t>--Restene av fiskesvinne/fiskekampanjen pluss en del blomster fra Lenes ferie. Ryddet opp nå. Regner med kraftig forbedring fra uke 39</t>
  </si>
  <si>
    <t xml:space="preserve">-34,5 timer opplæring </t>
  </si>
  <si>
    <t>-- dårligere brutto enn normalt pga lokalt tilbud på f&amp;g. Lønn: langtidssykemeldte og influensa, samt en som har spilt fotball og fått skulder ut av ledd, ellers personalmøte 49 timer</t>
  </si>
  <si>
    <t>--Kjøtt ble ved en feil satt på skjære rom, ikke kjøl. Kr 10000,- og mye fisk. Tiltak er iverksatt.</t>
  </si>
  <si>
    <t>--19 tomer sykdom, 23 timer opplæring ,22 , timer ekstra pga Rema stenkt man-ons, derfor stor omsetningsvekst.</t>
  </si>
  <si>
    <t>-Holder fortsatt på med opprydning- datosjekk.</t>
  </si>
  <si>
    <t>--</t>
  </si>
  <si>
    <t>--15 timer er idl samling på sinsen tirsdag...</t>
  </si>
  <si>
    <t xml:space="preserve">-IDL 15 timer + 45 timer fravær.  Svinn pri 1. </t>
  </si>
  <si>
    <t>-Fortsatt høyt på Fisk, ligger igjen fra 40% uka. Dette er nå under kontroll. Neste uke blir bra. Litt for mange timer  grunnet opplæring på to nyansatte samt ledelse på kurs.</t>
  </si>
  <si>
    <t>-Svinnet er for høyt pga fisken som har alene 10000,-. 3000,- av dem er feilregistrert og skal motposteres og siste rest fra 40% uka. Er satt på tilbud men ikke solgt bra.</t>
  </si>
  <si>
    <t>-37,5 timer avtr BS, 30 timer ikke betalt Magne, 21 t skole/kurs/møte, 10 t dekkes av Nav</t>
  </si>
  <si>
    <t>-Av 631,5 timer er 22,5 møte Oslo og 18 timer egenmelding</t>
  </si>
  <si>
    <t>-mye sykdom denne uke også litt høyt svinn litt mye på fisk-brød- ferdigretter her kommer det noe på retur nye varer  ingen store summer ,men litt høyt  totalt.SVINN fokus på ledermøte idag ellers bra med lam idag.</t>
  </si>
  <si>
    <t>-2 Låseansvarlige sykemeldt hele uken, derfor for høye lønnskostnader.</t>
  </si>
  <si>
    <t>------Lønn: 22,5 t IDL møte. Høyt svinn i fisk, bakeri og f/g, har bedt om tiltaksplan.</t>
  </si>
  <si>
    <t>-høyt svinn fisk 40%</t>
  </si>
  <si>
    <t>DS no</t>
  </si>
  <si>
    <t>DS_Name</t>
  </si>
  <si>
    <t>Distrikt Detaljer</t>
  </si>
  <si>
    <t>Grand Total</t>
  </si>
  <si>
    <t>Totaloversikt</t>
  </si>
  <si>
    <t>Fjorår</t>
  </si>
  <si>
    <t>Bud Timer</t>
  </si>
  <si>
    <t>Bud Kst</t>
  </si>
  <si>
    <t>Svinn Bud</t>
  </si>
  <si>
    <t>Butikk Trend</t>
  </si>
  <si>
    <t>Avdnr:</t>
  </si>
  <si>
    <t>År:</t>
  </si>
  <si>
    <t>Uke:</t>
  </si>
  <si>
    <t>1234</t>
  </si>
  <si>
    <t>Dummy Store</t>
  </si>
  <si>
    <t>Dummy DS</t>
  </si>
  <si>
    <t>0</t>
  </si>
  <si>
    <t>Fjorår Oms</t>
  </si>
  <si>
    <t>Real</t>
  </si>
  <si>
    <t>Butikk Korrigering</t>
  </si>
  <si>
    <t>Totalt</t>
  </si>
  <si>
    <t>Snittlønn</t>
  </si>
  <si>
    <t>Butikk Korrigering Ant Timer</t>
  </si>
  <si>
    <t>MAX Timer</t>
  </si>
  <si>
    <t>http://eigilrognan.com/support</t>
  </si>
  <si>
    <t>Programfeil, Runtime-error, ønsker om endringer eller har du rett og slett en fantastisk idè som kan gjøre verden litt enklere -  kan du melde det inn på følgende nettadresse:</t>
  </si>
  <si>
    <t>Min Økonomi</t>
  </si>
  <si>
    <t>Min ActionLogg</t>
  </si>
  <si>
    <t>ID</t>
  </si>
  <si>
    <t>Reg Dato</t>
  </si>
  <si>
    <t>Reg Av</t>
  </si>
  <si>
    <t>Kategori</t>
  </si>
  <si>
    <t>Tittel</t>
  </si>
  <si>
    <t>Ansvarlig</t>
  </si>
  <si>
    <t>Frist</t>
  </si>
  <si>
    <t>Status</t>
  </si>
  <si>
    <t>Tiltak</t>
  </si>
  <si>
    <t>Kr</t>
  </si>
  <si>
    <t>.</t>
  </si>
  <si>
    <t>Antall Kunder</t>
  </si>
  <si>
    <t>Snitthandel</t>
  </si>
  <si>
    <t>Brutto %</t>
  </si>
  <si>
    <t>Mitt Salg</t>
  </si>
  <si>
    <t>Svinnreduksjon Fisk</t>
  </si>
  <si>
    <t>Høyere topplinje på sjefsplassene</t>
  </si>
  <si>
    <t>Map 2013</t>
  </si>
  <si>
    <t>Fast tiltak: Lønn</t>
  </si>
  <si>
    <t>BS Eigil</t>
  </si>
  <si>
    <t>Pågår</t>
  </si>
  <si>
    <t>Fast Arbeidsplan i P.....</t>
  </si>
  <si>
    <t>Bytte ut sjefsplasse.....</t>
  </si>
  <si>
    <t>KS Malin</t>
  </si>
  <si>
    <t>Sette svinnmål per u.....</t>
  </si>
  <si>
    <t>Fiskeansvarlig</t>
  </si>
  <si>
    <t>Ferdig</t>
  </si>
  <si>
    <t>Øvrig Drift</t>
  </si>
  <si>
    <t>Gjennomføre MAP for .....</t>
  </si>
  <si>
    <t>REFKOD</t>
  </si>
  <si>
    <t>År</t>
  </si>
  <si>
    <t>Lønnskost</t>
  </si>
  <si>
    <t>Timer</t>
  </si>
  <si>
    <t>Frav#Tim</t>
  </si>
  <si>
    <t>Herav Ferie</t>
  </si>
  <si>
    <t>Field1</t>
  </si>
  <si>
    <t>Field2</t>
  </si>
  <si>
    <t>2013-18</t>
  </si>
  <si>
    <t/>
  </si>
  <si>
    <t>2013-19</t>
  </si>
  <si>
    <t>2013-20</t>
  </si>
  <si>
    <t>2013-21</t>
  </si>
  <si>
    <t>2013-22</t>
  </si>
  <si>
    <t>2013-23</t>
  </si>
  <si>
    <t>2013-24</t>
  </si>
  <si>
    <t>2013-25</t>
  </si>
  <si>
    <t>2013-1</t>
  </si>
  <si>
    <t>2013-2</t>
  </si>
  <si>
    <t>2013-3</t>
  </si>
  <si>
    <t>2013-4</t>
  </si>
  <si>
    <t>2013-5</t>
  </si>
  <si>
    <t>2013-6</t>
  </si>
  <si>
    <t>2013-7</t>
  </si>
  <si>
    <t>2013-8</t>
  </si>
  <si>
    <t>2013-9</t>
  </si>
  <si>
    <t>2013-10</t>
  </si>
  <si>
    <t>2013-11</t>
  </si>
  <si>
    <t>2013-12</t>
  </si>
  <si>
    <t>2013-13</t>
  </si>
  <si>
    <t>2013-14</t>
  </si>
  <si>
    <t>2013-15</t>
  </si>
  <si>
    <t>2013-16</t>
  </si>
  <si>
    <t>2013-17</t>
  </si>
  <si>
    <t>Eigil</t>
  </si>
  <si>
    <t>Null erstatning av n.....</t>
  </si>
  <si>
    <t>Lønnsinnsparing 2013</t>
  </si>
  <si>
    <t>Redusere svinnet til under 30k pr uke</t>
  </si>
  <si>
    <t>Oppdatere svinn-tavl.....</t>
  </si>
  <si>
    <t>Garderober og Uniformer</t>
  </si>
  <si>
    <t>-Rydde opp, og fjern.....</t>
  </si>
  <si>
    <t>Ny Fruktansvarlig</t>
  </si>
  <si>
    <t>Finne erstatter for .....</t>
  </si>
  <si>
    <t>SAP Brutto</t>
  </si>
  <si>
    <t>Kunder</t>
  </si>
  <si>
    <t>Butto &amp; Bonuser</t>
  </si>
  <si>
    <t>Brutto &amp; bonuser</t>
  </si>
  <si>
    <t>Gjeldende uke</t>
  </si>
  <si>
    <t>Hittill</t>
  </si>
  <si>
    <t>Tilbudsoms</t>
  </si>
  <si>
    <t>Salg Eks Tilbud</t>
  </si>
  <si>
    <t>Lønnsreserver</t>
  </si>
  <si>
    <t>Mitt svinn</t>
  </si>
  <si>
    <t>Brød</t>
  </si>
  <si>
    <t>Frukt&amp;Grønt</t>
  </si>
  <si>
    <t>Fisk</t>
  </si>
  <si>
    <t>Tørrvarer</t>
  </si>
  <si>
    <t>Øvrig</t>
  </si>
  <si>
    <t>Totalt Svinn</t>
  </si>
  <si>
    <t>Kjøtt/Delikatesse</t>
  </si>
  <si>
    <t>Total Oms</t>
  </si>
  <si>
    <t>Total svinn</t>
  </si>
  <si>
    <t>VO Svinn</t>
  </si>
  <si>
    <t>VO Svinn %</t>
  </si>
  <si>
    <t>VO Svinn Andel</t>
  </si>
  <si>
    <t>Navn</t>
  </si>
  <si>
    <t>VO Svinn%</t>
  </si>
  <si>
    <t>Kommentar</t>
  </si>
  <si>
    <t>Vis/Skjul graf</t>
  </si>
  <si>
    <t>LCM Brutto</t>
  </si>
  <si>
    <t>Realisert 2014</t>
  </si>
  <si>
    <t>P&amp;L Budsjett 2016</t>
  </si>
  <si>
    <t>Realisert 2015</t>
  </si>
  <si>
    <t>Statistisk gjetning 2016</t>
  </si>
  <si>
    <t>Tilbudsandel</t>
  </si>
  <si>
    <t>Real Lønn 2015</t>
  </si>
  <si>
    <t>P&amp;L Lønn 2016</t>
  </si>
  <si>
    <t>Periodisert Lønn 2016                   Kroner / % / Antall Timer / OPAT</t>
  </si>
  <si>
    <t>NY Periodisert Omsetning 2016</t>
  </si>
  <si>
    <t>Connectionstring</t>
  </si>
  <si>
    <t>Provider=Microsoft.ACE.OLEDB.12.0;Data Source=r:\Fellesområde\FX4\fokusx.accdb;Persist Security Info=False</t>
  </si>
  <si>
    <t>CurrentVersion</t>
  </si>
  <si>
    <t>HideSplash</t>
  </si>
  <si>
    <t>Description</t>
  </si>
  <si>
    <t>Fokus X er et verktøy for butikk!  Den hjelper deg å holde lønnskostnader og svinn under kontroll - samtidig som distriktet, regionen, og kjeden kan dra nytte av de tallene som butikkene registerer.  Du kan sammenligne din butikk mot budsjett, mot butikker i samme distrikt, region og kjede.  FokusX er laget for å hjelp deg å holde FOKUS på nøkkeltallene dine.    Alle data er lagret på en felles database, så når det kommer nye versjoner og oppdateringer av FokusX - så slipper du å miste dine data, eller punche inn alt på nytt.   Lagre din FokusX hvor du vil på din egen PC, og den vil fortelle deg når det er kommet en ny versjon.   For å komme igang, trykk på innstillinger-knappen, tast inn ditt avdelingsnummer, og sett igang med fokuset!  Lykke til!</t>
  </si>
  <si>
    <t>LimOms</t>
  </si>
  <si>
    <t>LimLønn</t>
  </si>
  <si>
    <t>LimSvinn</t>
  </si>
  <si>
    <t>ServerPath</t>
  </si>
  <si>
    <t>Provider=Microsoft.ACE.OLEDB.12.0;Data Source=S:\ICA Supermarked\05 Telefonmøter\FX2\ActionLog.accdb;Persist Security Info=False</t>
  </si>
  <si>
    <t>ShrinkDeps</t>
  </si>
  <si>
    <t>2</t>
  </si>
  <si>
    <t>Rolf-Anders Bjercke</t>
  </si>
  <si>
    <t>LKM</t>
  </si>
  <si>
    <t>Fornøyde</t>
  </si>
  <si>
    <t>Nøytrale</t>
  </si>
  <si>
    <t>Antall Svar</t>
  </si>
  <si>
    <t>Mis-fornøyde</t>
  </si>
  <si>
    <t>Brutto</t>
  </si>
  <si>
    <t>Misfornøyde</t>
  </si>
  <si>
    <t>Connectionstring2sysfil</t>
  </si>
  <si>
    <t>Provider=Microsoft.ACE.OLEDB.12.0;Data Source=r:\Fellesområde\SX4\dbSysteminfo.accdb;Persist Security Info=False</t>
  </si>
  <si>
    <t>Oppstart/lagring?</t>
  </si>
  <si>
    <t>Real KR</t>
  </si>
  <si>
    <t>Bud KR</t>
  </si>
  <si>
    <t>Ant Reg Oms</t>
  </si>
  <si>
    <t>Ant Reg Lønn</t>
  </si>
  <si>
    <t>MD i fjor</t>
  </si>
  <si>
    <t>MD i år</t>
  </si>
  <si>
    <t>SumResultat i RegionTotal?</t>
  </si>
  <si>
    <t>2.4.6</t>
  </si>
  <si>
    <t>4557</t>
  </si>
  <si>
    <t>SANDAKER</t>
  </si>
  <si>
    <t>4312</t>
  </si>
  <si>
    <t>STORO</t>
  </si>
  <si>
    <t>4314</t>
  </si>
  <si>
    <t>ULLEVÅL</t>
  </si>
  <si>
    <t>4318</t>
  </si>
  <si>
    <t>LINDERUD</t>
  </si>
  <si>
    <t>4358</t>
  </si>
  <si>
    <t>HASLE TORG</t>
  </si>
  <si>
    <t>4366</t>
  </si>
  <si>
    <t>GAUSEL</t>
  </si>
  <si>
    <t>4368</t>
  </si>
  <si>
    <t>NITTEDAL</t>
  </si>
  <si>
    <t>4372</t>
  </si>
  <si>
    <t>BEKKEVOLL</t>
  </si>
  <si>
    <t>4550</t>
  </si>
  <si>
    <t>STØPERIGÅRDEN</t>
  </si>
  <si>
    <t>4551</t>
  </si>
  <si>
    <t>KILDEN</t>
  </si>
  <si>
    <t>4773</t>
  </si>
  <si>
    <t>ALEXANDER KIELLANDSP</t>
  </si>
  <si>
    <t>4941</t>
  </si>
  <si>
    <t>NYDALEN</t>
  </si>
  <si>
    <t>4301</t>
  </si>
  <si>
    <t>BERJASEN</t>
  </si>
  <si>
    <t>4317</t>
  </si>
  <si>
    <t>HOLMEN</t>
  </si>
  <si>
    <t>2019</t>
  </si>
  <si>
    <t>Sist oppdatert: 06.01.2019 23:43:11</t>
  </si>
  <si>
    <t>Sist oppdatert: 06.01.2019 23:52:26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</si>
</sst>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quot;kr&quot;* #,##0.00_);_(&quot;kr&quot;* \(#,##0.00\);_(&quot;kr&quot;* &quot;-&quot;??_);_(@_)"/>
    <numFmt numFmtId="167" formatCode="_ * #,##0_ ;_ * \-#,##0_ ;_ * &quot;-&quot;??_ ;_ @_ "/>
    <numFmt numFmtId="168" formatCode="_(* #,##0_);_(* \(#,##0\);_(* &quot;-&quot;??_);_(@_)"/>
    <numFmt numFmtId="169" formatCode="0.0\ %"/>
    <numFmt numFmtId="170" formatCode="_ * #,##0.000_ ;_ * \-#,##0.000_ ;_ * &quot;-&quot;??_ ;_ @_ "/>
    <numFmt numFmtId="171" formatCode="dd/mm/yy;@"/>
    <numFmt numFmtId="172" formatCode="_ * #,##0.0_ ;_ * \-#,##0.0_ ;_ * &quot;-&quot;?_ ;_ @_ "/>
    <numFmt numFmtId="173" formatCode="#,##0_ ;\-#,##0\ "/>
  </numFmts>
  <fonts count="110">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color indexed="8"/>
      <name val="Arial"/>
      <family val="2"/>
    </font>
    <font>
      <u/>
      <sz val="9.35"/>
      <color theme="10"/>
      <name val="Calibri"/>
      <family val="2"/>
    </font>
    <font>
      <b/>
      <sz val="10"/>
      <name val="Calibri"/>
      <family val="2"/>
      <scheme val="minor"/>
    </font>
    <font>
      <sz val="11"/>
      <name val="Calibri"/>
      <family val="2"/>
    </font>
    <font>
      <sz val="8"/>
      <name val="Arial"/>
      <family val="2"/>
    </font>
    <font>
      <b/>
      <sz val="11"/>
      <color indexed="9"/>
      <name val="Calibri"/>
      <family val="2"/>
    </font>
    <font>
      <sz val="10"/>
      <name val="Arial"/>
      <family val="2"/>
    </font>
    <font>
      <b/>
      <sz val="11"/>
      <color theme="0"/>
      <name val="Calibri"/>
      <family val="2"/>
    </font>
    <font>
      <b/>
      <sz val="12"/>
      <color theme="0"/>
      <name val="Calibri"/>
      <family val="2"/>
    </font>
    <font>
      <sz val="8"/>
      <name val="Calibri"/>
      <family val="2"/>
    </font>
    <font>
      <b/>
      <sz val="8"/>
      <color indexed="9"/>
      <name val="Calibri"/>
      <family val="2"/>
    </font>
    <font>
      <b/>
      <sz val="8"/>
      <name val="Calibri"/>
      <family val="2"/>
    </font>
    <font>
      <b/>
      <sz val="8"/>
      <color theme="0"/>
      <name val="Calibri"/>
      <family val="2"/>
      <scheme val="minor"/>
    </font>
    <font>
      <b/>
      <sz val="8"/>
      <color theme="0"/>
      <name val="Calibri"/>
      <family val="2"/>
    </font>
    <font>
      <sz val="8"/>
      <color indexed="9"/>
      <name val="Calibri"/>
      <family val="2"/>
    </font>
    <font>
      <sz val="8"/>
      <color rgb="FFFF0000"/>
      <name val="Calibri"/>
      <family val="2"/>
    </font>
    <font>
      <sz val="8"/>
      <color theme="0"/>
      <name val="Calibri"/>
      <family val="2"/>
    </font>
    <font>
      <sz val="10"/>
      <name val="Calibri"/>
      <family val="2"/>
    </font>
    <font>
      <b/>
      <sz val="11"/>
      <name val="Calibri"/>
      <family val="2"/>
    </font>
    <font>
      <sz val="11"/>
      <color rgb="FF7030A0"/>
      <name val="Calibri"/>
      <family val="2"/>
      <scheme val="minor"/>
    </font>
    <font>
      <b/>
      <sz val="28"/>
      <color theme="0" tint="-4.9989318521683403E-2"/>
      <name val="Calibri"/>
      <family val="2"/>
      <scheme val="minor"/>
    </font>
    <font>
      <sz val="9"/>
      <color theme="0"/>
      <name val="Calibri"/>
      <family val="2"/>
      <scheme val="minor"/>
    </font>
    <font>
      <sz val="8"/>
      <color theme="0" tint="-0.499984740745262"/>
      <name val="Calibri"/>
      <family val="2"/>
    </font>
    <font>
      <i/>
      <sz val="8"/>
      <color theme="0" tint="-0.249977111117893"/>
      <name val="Calibri"/>
      <family val="2"/>
    </font>
    <font>
      <b/>
      <sz val="8"/>
      <color rgb="FF0070C0"/>
      <name val="Calibri"/>
      <family val="2"/>
    </font>
    <font>
      <sz val="10"/>
      <color theme="0" tint="-0.499984740745262"/>
      <name val="Calibri"/>
      <family val="2"/>
    </font>
    <font>
      <sz val="10"/>
      <color theme="0" tint="-0.499984740745262"/>
      <name val="Arial"/>
      <family val="2"/>
    </font>
    <font>
      <i/>
      <sz val="10"/>
      <color theme="0" tint="-0.249977111117893"/>
      <name val="Arial"/>
      <family val="2"/>
    </font>
    <font>
      <sz val="10"/>
      <color rgb="FF002060"/>
      <name val="Arial"/>
      <family val="2"/>
    </font>
    <font>
      <sz val="10"/>
      <color rgb="FFFF0000"/>
      <name val="Calibri"/>
      <family val="2"/>
    </font>
    <font>
      <sz val="11"/>
      <color rgb="FFFF0000"/>
      <name val="Calibri"/>
      <family val="2"/>
      <scheme val="minor"/>
    </font>
    <font>
      <b/>
      <sz val="14"/>
      <color theme="0"/>
      <name val="Calibri"/>
      <family val="2"/>
      <scheme val="minor"/>
    </font>
    <font>
      <b/>
      <sz val="14"/>
      <color rgb="FFFFFF00"/>
      <name val="Calibri"/>
      <family val="2"/>
      <scheme val="minor"/>
    </font>
    <font>
      <b/>
      <sz val="10"/>
      <color theme="1"/>
      <name val="Calibri"/>
      <family val="2"/>
      <scheme val="minor"/>
    </font>
    <font>
      <sz val="8"/>
      <color theme="0"/>
      <name val="Calibri"/>
      <family val="2"/>
      <scheme val="minor"/>
    </font>
    <font>
      <b/>
      <sz val="24"/>
      <color theme="0"/>
      <name val="Calibri"/>
      <family val="2"/>
      <scheme val="minor"/>
    </font>
    <font>
      <b/>
      <sz val="12"/>
      <name val="Calibri"/>
      <family val="2"/>
      <scheme val="minor"/>
    </font>
    <font>
      <sz val="10"/>
      <color indexed="8"/>
      <name val="Calibri"/>
      <family val="2"/>
    </font>
    <font>
      <sz val="10"/>
      <color theme="0"/>
      <name val="Calibri"/>
      <family val="2"/>
      <scheme val="minor"/>
    </font>
    <font>
      <sz val="10"/>
      <color theme="1"/>
      <name val="Calibri"/>
      <family val="2"/>
      <scheme val="minor"/>
    </font>
    <font>
      <sz val="10"/>
      <color theme="1"/>
      <name val="Calibri"/>
      <family val="2"/>
    </font>
    <font>
      <b/>
      <sz val="9"/>
      <color theme="1"/>
      <name val="Calibri"/>
      <family val="2"/>
      <scheme val="minor"/>
    </font>
    <font>
      <b/>
      <sz val="9"/>
      <name val="Calibri"/>
      <family val="2"/>
      <scheme val="minor"/>
    </font>
    <font>
      <sz val="9"/>
      <color indexed="8"/>
      <name val="Calibri"/>
      <family val="2"/>
    </font>
    <font>
      <sz val="9"/>
      <color theme="1"/>
      <name val="Calibri"/>
      <family val="2"/>
      <scheme val="minor"/>
    </font>
    <font>
      <sz val="9"/>
      <color theme="1"/>
      <name val="Calibri"/>
      <family val="2"/>
    </font>
    <font>
      <b/>
      <sz val="12"/>
      <color theme="3" tint="-0.499984740745262"/>
      <name val="Calibri"/>
      <family val="2"/>
      <scheme val="minor"/>
    </font>
    <font>
      <sz val="8"/>
      <color theme="4"/>
      <name val="Calibri"/>
      <family val="2"/>
    </font>
    <font>
      <sz val="8"/>
      <color theme="1"/>
      <name val="Calibri"/>
      <family val="2"/>
      <scheme val="minor"/>
    </font>
    <font>
      <b/>
      <sz val="14"/>
      <color theme="4" tint="0.39997558519241921"/>
      <name val="Calibri"/>
      <family val="2"/>
      <scheme val="minor"/>
    </font>
    <font>
      <sz val="11"/>
      <color theme="4" tint="0.39997558519241921"/>
      <name val="Calibri"/>
      <family val="2"/>
      <scheme val="minor"/>
    </font>
    <font>
      <b/>
      <sz val="24"/>
      <color theme="4" tint="0.39997558519241921"/>
      <name val="Calibri"/>
      <family val="2"/>
      <scheme val="minor"/>
    </font>
    <font>
      <sz val="8"/>
      <color rgb="FF00A44A"/>
      <name val="Calibri"/>
      <family val="2"/>
      <scheme val="minor"/>
    </font>
    <font>
      <sz val="10"/>
      <color rgb="FF00A44A"/>
      <name val="Calibri"/>
      <family val="2"/>
      <scheme val="minor"/>
    </font>
    <font>
      <b/>
      <sz val="8"/>
      <color theme="4" tint="-0.249977111117893"/>
      <name val="Calibri"/>
      <family val="2"/>
      <scheme val="minor"/>
    </font>
    <font>
      <sz val="11"/>
      <color theme="1"/>
      <name val="Calibri"/>
      <family val="2"/>
    </font>
    <font>
      <sz val="9"/>
      <color theme="4"/>
      <name val="Calibri"/>
      <family val="2"/>
    </font>
    <font>
      <sz val="9"/>
      <color theme="1" tint="0.499984740745262"/>
      <name val="Calibri"/>
      <family val="2"/>
      <scheme val="minor"/>
    </font>
    <font>
      <b/>
      <sz val="9"/>
      <name val="Calibri"/>
      <family val="2"/>
    </font>
    <font>
      <b/>
      <sz val="12"/>
      <color theme="1"/>
      <name val="Calibri"/>
      <family val="2"/>
      <scheme val="minor"/>
    </font>
    <font>
      <b/>
      <sz val="28"/>
      <color theme="0"/>
      <name val="Calibri"/>
      <family val="2"/>
      <scheme val="minor"/>
    </font>
    <font>
      <b/>
      <sz val="10"/>
      <color rgb="FFFF0000"/>
      <name val="Calibri"/>
      <family val="2"/>
      <scheme val="minor"/>
    </font>
    <font>
      <b/>
      <sz val="10"/>
      <color theme="0" tint="-0.34998626667073579"/>
      <name val="Calibri"/>
      <family val="2"/>
      <scheme val="minor"/>
    </font>
    <font>
      <sz val="10"/>
      <color theme="0" tint="-0.34998626667073579"/>
      <name val="Calibri"/>
      <family val="2"/>
      <scheme val="minor"/>
    </font>
    <font>
      <b/>
      <sz val="9"/>
      <color theme="0" tint="-0.34998626667073579"/>
      <name val="Calibri"/>
      <family val="2"/>
      <scheme val="minor"/>
    </font>
    <font>
      <sz val="9"/>
      <color theme="0" tint="-0.34998626667073579"/>
      <name val="Calibri"/>
      <family val="2"/>
      <scheme val="minor"/>
    </font>
    <font>
      <sz val="8"/>
      <color rgb="FFFF0000"/>
      <name val="Calibri"/>
      <family val="2"/>
      <scheme val="minor"/>
    </font>
    <font>
      <sz val="9"/>
      <name val="Calibri"/>
      <family val="2"/>
      <scheme val="minor"/>
    </font>
    <font>
      <b/>
      <sz val="26"/>
      <color theme="0"/>
      <name val="Calibri"/>
      <family val="2"/>
      <scheme val="minor"/>
    </font>
    <font>
      <sz val="8"/>
      <color indexed="81"/>
      <name val="Tahoma"/>
      <family val="2"/>
    </font>
    <font>
      <b/>
      <sz val="8"/>
      <color indexed="81"/>
      <name val="Tahoma"/>
      <family val="2"/>
    </font>
    <font>
      <sz val="9"/>
      <color theme="9" tint="-0.249977111117893"/>
      <name val="Calibri"/>
      <family val="2"/>
      <scheme val="minor"/>
    </font>
    <font>
      <sz val="9"/>
      <color rgb="FFFF0000"/>
      <name val="Calibri"/>
      <family val="2"/>
      <scheme val="minor"/>
    </font>
    <font>
      <sz val="8"/>
      <color theme="9" tint="-0.249977111117893"/>
      <name val="Calibri"/>
      <family val="2"/>
      <scheme val="minor"/>
    </font>
    <font>
      <sz val="8"/>
      <name val="Calibri"/>
      <family val="2"/>
      <scheme val="minor"/>
    </font>
    <font>
      <b/>
      <sz val="9"/>
      <color theme="4" tint="-0.499984740745262"/>
      <name val="Calibri"/>
      <family val="2"/>
      <scheme val="minor"/>
    </font>
    <font>
      <b/>
      <sz val="9"/>
      <color rgb="FFFF0000"/>
      <name val="Calibri"/>
      <family val="2"/>
      <scheme val="minor"/>
    </font>
    <font>
      <b/>
      <u/>
      <sz val="10"/>
      <color theme="1"/>
      <name val="Calibri"/>
      <family val="2"/>
      <scheme val="minor"/>
    </font>
    <font>
      <u/>
      <sz val="18"/>
      <color theme="10"/>
      <name val="Calibri"/>
      <family val="2"/>
    </font>
    <font>
      <b/>
      <sz val="16"/>
      <color theme="4" tint="-0.249977111117893"/>
      <name val="Calibri"/>
      <family val="2"/>
      <scheme val="minor"/>
    </font>
    <font>
      <b/>
      <sz val="11"/>
      <color theme="3"/>
      <name val="Calibri"/>
      <family val="2"/>
      <scheme val="minor"/>
    </font>
    <font>
      <b/>
      <sz val="36"/>
      <color theme="0"/>
      <name val="Calibri"/>
      <family val="2"/>
      <scheme val="minor"/>
    </font>
    <font>
      <sz val="24"/>
      <color theme="0"/>
      <name val="Calibri"/>
      <family val="2"/>
      <scheme val="minor"/>
    </font>
    <font>
      <b/>
      <u/>
      <sz val="9"/>
      <color rgb="FF0070C0"/>
      <name val="Calibri"/>
      <family val="2"/>
      <scheme val="minor"/>
    </font>
    <font>
      <i/>
      <sz val="8"/>
      <color rgb="FF949494"/>
      <name val="Calibri"/>
      <family val="2"/>
      <scheme val="minor"/>
    </font>
    <font>
      <sz val="11"/>
      <color theme="3"/>
      <name val="Calibri"/>
      <family val="2"/>
      <scheme val="minor"/>
    </font>
    <font>
      <sz val="11"/>
      <color rgb="FF000066"/>
      <name val="Calibri"/>
      <family val="2"/>
      <scheme val="minor"/>
    </font>
    <font>
      <sz val="8"/>
      <color theme="4" tint="-0.249977111117893"/>
      <name val="Calibri"/>
      <family val="2"/>
    </font>
    <font>
      <sz val="8"/>
      <color theme="6" tint="-0.249977111117893"/>
      <name val="Calibri"/>
      <family val="2"/>
    </font>
    <font>
      <sz val="11"/>
      <color indexed="8"/>
      <name val="Calibri"/>
      <family val="2"/>
    </font>
    <font>
      <sz val="8"/>
      <color rgb="FF000000"/>
      <name val="Tahoma"/>
      <family val="2"/>
    </font>
    <font>
      <sz val="11"/>
      <color theme="1"/>
      <name val="Paltino"/>
    </font>
    <font>
      <sz val="11"/>
      <name val="Calibri"/>
      <family val="2"/>
      <scheme val="minor"/>
    </font>
    <font>
      <sz val="9"/>
      <name val="Calibri"/>
      <family val="2"/>
    </font>
    <font>
      <sz val="9"/>
      <color indexed="81"/>
      <name val="Tahoma"/>
      <family val="2"/>
    </font>
    <font>
      <b/>
      <sz val="9"/>
      <color indexed="81"/>
      <name val="Tahoma"/>
      <family val="2"/>
    </font>
    <font>
      <sz val="9"/>
      <color theme="3" tint="-0.499984740745262"/>
      <name val="Calibri"/>
      <family val="2"/>
      <scheme val="minor"/>
    </font>
    <font>
      <b/>
      <i/>
      <sz val="9"/>
      <color theme="3" tint="-0.499984740745262"/>
      <name val="Calibri"/>
      <family val="2"/>
      <scheme val="minor"/>
    </font>
    <font>
      <b/>
      <u/>
      <sz val="10"/>
      <name val="Calibri"/>
      <family val="2"/>
      <scheme val="minor"/>
    </font>
    <font>
      <sz val="10"/>
      <name val="Calibri"/>
      <family val="2"/>
      <scheme val="minor"/>
    </font>
    <font>
      <b/>
      <sz val="12"/>
      <color theme="0"/>
      <name val="Calibri"/>
      <family val="2"/>
      <scheme val="minor"/>
    </font>
    <font>
      <b/>
      <sz val="13"/>
      <color theme="0"/>
      <name val="Calibri"/>
      <family val="2"/>
      <scheme val="minor"/>
    </font>
    <font>
      <sz val="8"/>
      <color rgb="FF000000"/>
      <name val="Segoe UI"/>
      <family val="2"/>
    </font>
    <font>
      <sz val="8"/>
      <color rgb="FF000000"/>
      <name val="Calibri"/>
      <family val="2"/>
    </font>
    <font>
      <b/>
      <sz val="10"/>
      <color rgb="FF000000"/>
      <name val="Calibri"/>
      <family val="2"/>
    </font>
    <font>
      <sz val="11"/>
      <color rgb="FF000000"/>
      <name val="Calibri"/>
      <family val="2"/>
    </font>
  </fonts>
  <fills count="30">
    <fill>
      <patternFill patternType="none"/>
    </fill>
    <fill>
      <patternFill patternType="gray125"/>
    </fill>
    <fill>
      <patternFill patternType="solid">
        <fgColor theme="4"/>
      </patternFill>
    </fill>
    <fill>
      <patternFill patternType="solid">
        <fgColor theme="0"/>
        <bgColor indexed="64"/>
      </patternFill>
    </fill>
    <fill>
      <patternFill patternType="solid">
        <fgColor theme="7"/>
      </patternFill>
    </fill>
    <fill>
      <patternFill patternType="solid">
        <fgColor theme="4"/>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4" tint="0.39997558519241921"/>
        <bgColor indexed="65"/>
      </patternFill>
    </fill>
    <fill>
      <patternFill patternType="solid">
        <fgColor theme="4" tint="-0.249977111117893"/>
        <bgColor indexed="64"/>
      </patternFill>
    </fill>
    <fill>
      <patternFill patternType="solid">
        <fgColor theme="3" tint="0.39997558519241921"/>
        <bgColor indexed="64"/>
      </patternFill>
    </fill>
    <fill>
      <patternFill patternType="solid">
        <fgColor theme="4" tint="-0.499984740745262"/>
        <bgColor indexed="64"/>
      </patternFill>
    </fill>
    <fill>
      <patternFill patternType="solid">
        <fgColor rgb="FFFFFFCC"/>
      </patternFill>
    </fill>
    <fill>
      <patternFill patternType="solid">
        <fgColor theme="4" tint="0.59999389629810485"/>
        <bgColor indexed="65"/>
      </patternFill>
    </fill>
    <fill>
      <patternFill patternType="solid">
        <fgColor rgb="FFFFFF66"/>
        <bgColor indexed="64"/>
      </patternFill>
    </fill>
    <fill>
      <patternFill patternType="solid">
        <fgColor rgb="FFC00000"/>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ABD5FF"/>
        <bgColor indexed="64"/>
      </patternFill>
    </fill>
    <fill>
      <gradientFill>
        <stop position="0">
          <color theme="4" tint="0.40000610370189521"/>
        </stop>
        <stop position="1">
          <color theme="4" tint="-0.25098422193060094"/>
        </stop>
      </gradientFill>
    </fill>
    <fill>
      <patternFill patternType="solid">
        <fgColor theme="0" tint="-0.14999847407452621"/>
        <bgColor indexed="64"/>
      </patternFill>
    </fill>
    <fill>
      <patternFill patternType="solid">
        <fgColor theme="4"/>
        <bgColor auto="1"/>
      </patternFill>
    </fill>
    <fill>
      <patternFill patternType="solid">
        <fgColor indexed="22"/>
        <bgColor indexed="0"/>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00A44A"/>
        <bgColor indexed="64"/>
      </patternFill>
    </fill>
  </fills>
  <borders count="6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3"/>
      </bottom>
      <diagonal/>
    </border>
    <border>
      <left style="medium">
        <color theme="3"/>
      </left>
      <right style="medium">
        <color theme="3"/>
      </right>
      <top style="medium">
        <color theme="3"/>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style="medium">
        <color theme="3"/>
      </right>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style="medium">
        <color theme="3"/>
      </right>
      <top/>
      <bottom style="medium">
        <color theme="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ck">
        <color theme="4" tint="0.39994506668294322"/>
      </bottom>
      <diagonal/>
    </border>
    <border>
      <left style="thin">
        <color indexed="64"/>
      </left>
      <right style="thin">
        <color indexed="64"/>
      </right>
      <top/>
      <bottom style="thin">
        <color indexed="64"/>
      </bottom>
      <diagonal/>
    </border>
    <border>
      <left style="thin">
        <color indexed="64"/>
      </left>
      <right/>
      <top style="thin">
        <color indexed="64"/>
      </top>
      <bottom style="thick">
        <color theme="4" tint="0.39994506668294322"/>
      </bottom>
      <diagonal/>
    </border>
    <border>
      <left/>
      <right style="thin">
        <color indexed="64"/>
      </right>
      <top style="thin">
        <color indexed="64"/>
      </top>
      <bottom style="thick">
        <color theme="4" tint="0.39994506668294322"/>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rgb="FFB2B2B2"/>
      </left>
      <right style="thin">
        <color rgb="FFB2B2B2"/>
      </right>
      <top style="thin">
        <color indexed="64"/>
      </top>
      <bottom style="thin">
        <color indexed="64"/>
      </bottom>
      <diagonal/>
    </border>
    <border>
      <left style="medium">
        <color theme="5" tint="-0.249977111117893"/>
      </left>
      <right style="medium">
        <color theme="5" tint="-0.249977111117893"/>
      </right>
      <top style="medium">
        <color theme="5" tint="-0.249977111117893"/>
      </top>
      <bottom style="medium">
        <color theme="5" tint="-0.249977111117893"/>
      </bottom>
      <diagonal/>
    </border>
    <border>
      <left style="medium">
        <color theme="5" tint="-0.249977111117893"/>
      </left>
      <right style="medium">
        <color theme="5" tint="-0.249977111117893"/>
      </right>
      <top style="medium">
        <color theme="5" tint="-0.249977111117893"/>
      </top>
      <bottom style="thin">
        <color indexed="64"/>
      </bottom>
      <diagonal/>
    </border>
    <border>
      <left style="medium">
        <color theme="5" tint="-0.249977111117893"/>
      </left>
      <right style="medium">
        <color theme="5" tint="-0.249977111117893"/>
      </right>
      <top/>
      <bottom/>
      <diagonal/>
    </border>
    <border>
      <left style="thin">
        <color indexed="64"/>
      </left>
      <right style="medium">
        <color theme="5" tint="-0.249977111117893"/>
      </right>
      <top/>
      <bottom/>
      <diagonal/>
    </border>
    <border>
      <left/>
      <right/>
      <top/>
      <bottom style="medium">
        <color theme="4" tint="-0.499984740745262"/>
      </bottom>
      <diagonal/>
    </border>
    <border>
      <left style="thin">
        <color theme="0" tint="-0.499984740745262"/>
      </left>
      <right style="thin">
        <color theme="0" tint="-0.499984740745262"/>
      </right>
      <top/>
      <bottom/>
      <diagonal/>
    </border>
    <border>
      <left style="medium">
        <color indexed="64"/>
      </left>
      <right/>
      <top/>
      <bottom style="medium">
        <color theme="4" tint="-0.499984740745262"/>
      </bottom>
      <diagonal/>
    </border>
    <border>
      <left/>
      <right style="medium">
        <color indexed="64"/>
      </right>
      <top/>
      <bottom style="medium">
        <color theme="4" tint="-0.499984740745262"/>
      </bottom>
      <diagonal/>
    </border>
    <border>
      <left/>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bottom style="thin">
        <color indexed="64"/>
      </bottom>
      <diagonal/>
    </border>
    <border>
      <left style="medium">
        <color indexed="64"/>
      </left>
      <right/>
      <top/>
      <bottom style="thin">
        <color indexed="64"/>
      </bottom>
      <diagonal/>
    </border>
  </borders>
  <cellStyleXfs count="13">
    <xf numFmtId="0" fontId="0" fillId="0" borderId="0"/>
    <xf numFmtId="9" fontId="1" fillId="0" borderId="0" applyFont="0" applyFill="0" applyBorder="0" applyAlignment="0" applyProtection="0"/>
    <xf numFmtId="0" fontId="3" fillId="2" borderId="0" applyNumberFormat="0" applyBorder="0" applyAlignment="0" applyProtection="0"/>
    <xf numFmtId="0" fontId="4" fillId="0" borderId="0"/>
    <xf numFmtId="165" fontId="1" fillId="0" borderId="0" applyFont="0" applyFill="0" applyBorder="0" applyAlignment="0" applyProtection="0"/>
    <xf numFmtId="0" fontId="5" fillId="0" borderId="0" applyNumberFormat="0" applyFill="0" applyBorder="0" applyAlignment="0" applyProtection="0">
      <alignment vertical="top"/>
      <protection locked="0"/>
    </xf>
    <xf numFmtId="0" fontId="3" fillId="4" borderId="0" applyNumberFormat="0" applyBorder="0" applyAlignment="0" applyProtection="0"/>
    <xf numFmtId="165" fontId="10" fillId="0" borderId="0" applyFont="0" applyFill="0" applyBorder="0" applyAlignment="0" applyProtection="0"/>
    <xf numFmtId="0" fontId="3" fillId="8" borderId="0" applyNumberFormat="0" applyBorder="0" applyAlignment="0" applyProtection="0"/>
    <xf numFmtId="0" fontId="1" fillId="12" borderId="45" applyNumberFormat="0" applyFont="0" applyAlignment="0" applyProtection="0"/>
    <xf numFmtId="0" fontId="1" fillId="13" borderId="0" applyNumberFormat="0" applyBorder="0" applyAlignment="0" applyProtection="0"/>
    <xf numFmtId="0" fontId="4" fillId="0" borderId="0"/>
    <xf numFmtId="166" fontId="1" fillId="0" borderId="0" applyFont="0" applyFill="0" applyBorder="0" applyAlignment="0" applyProtection="0"/>
  </cellStyleXfs>
  <cellXfs count="947">
    <xf numFmtId="0" fontId="0" fillId="0" borderId="0" xfId="0"/>
    <xf numFmtId="3" fontId="0" fillId="0" borderId="0" xfId="0" applyNumberFormat="1" applyAlignment="1">
      <alignment horizontal="center"/>
    </xf>
    <xf numFmtId="167" fontId="0" fillId="0" borderId="0" xfId="4" applyNumberFormat="1" applyFont="1"/>
    <xf numFmtId="0" fontId="0" fillId="0" borderId="0" xfId="0" applyAlignment="1">
      <alignment horizontal="center"/>
    </xf>
    <xf numFmtId="0" fontId="3" fillId="0" borderId="0" xfId="0" applyFont="1"/>
    <xf numFmtId="167" fontId="3" fillId="0" borderId="0" xfId="4" applyNumberFormat="1" applyFont="1"/>
    <xf numFmtId="1" fontId="0" fillId="0" borderId="0" xfId="0" applyNumberFormat="1"/>
    <xf numFmtId="1" fontId="6" fillId="3" borderId="4" xfId="1" applyNumberFormat="1" applyFont="1" applyFill="1" applyBorder="1" applyAlignment="1">
      <alignment horizontal="center" vertical="center"/>
    </xf>
    <xf numFmtId="1" fontId="6" fillId="3" borderId="6" xfId="1" applyNumberFormat="1" applyFont="1" applyFill="1" applyBorder="1" applyAlignment="1">
      <alignment horizontal="center" vertical="center"/>
    </xf>
    <xf numFmtId="1" fontId="6" fillId="3" borderId="9" xfId="1" applyNumberFormat="1" applyFont="1" applyFill="1" applyBorder="1" applyAlignment="1">
      <alignment horizontal="center" vertical="center"/>
    </xf>
    <xf numFmtId="10" fontId="0" fillId="0" borderId="0" xfId="1" applyNumberFormat="1" applyFont="1"/>
    <xf numFmtId="0" fontId="8" fillId="5" borderId="0" xfId="0" applyFont="1" applyFill="1" applyBorder="1" applyAlignment="1" applyProtection="1">
      <alignment horizontal="center"/>
    </xf>
    <xf numFmtId="0" fontId="13" fillId="5" borderId="0" xfId="0" applyFont="1" applyFill="1" applyBorder="1" applyAlignment="1" applyProtection="1">
      <alignment horizontal="center"/>
    </xf>
    <xf numFmtId="0" fontId="14" fillId="5" borderId="0" xfId="0" applyFont="1" applyFill="1" applyBorder="1" applyAlignment="1" applyProtection="1">
      <alignment horizontal="center"/>
    </xf>
    <xf numFmtId="0" fontId="15" fillId="5" borderId="0" xfId="0" applyFont="1" applyFill="1" applyBorder="1" applyAlignment="1" applyProtection="1">
      <alignment horizontal="center"/>
    </xf>
    <xf numFmtId="0" fontId="18" fillId="5" borderId="0" xfId="0" applyFont="1" applyFill="1" applyBorder="1" applyAlignment="1" applyProtection="1">
      <alignment horizontal="center"/>
    </xf>
    <xf numFmtId="0" fontId="18" fillId="5" borderId="5" xfId="0" applyFont="1" applyFill="1" applyBorder="1" applyAlignment="1" applyProtection="1">
      <alignment horizontal="center"/>
    </xf>
    <xf numFmtId="0" fontId="18" fillId="5" borderId="6" xfId="0" applyFont="1" applyFill="1" applyBorder="1" applyAlignment="1" applyProtection="1">
      <alignment horizontal="center"/>
    </xf>
    <xf numFmtId="0" fontId="19" fillId="5" borderId="0" xfId="0" applyFont="1" applyFill="1" applyBorder="1" applyAlignment="1" applyProtection="1">
      <alignment horizontal="center"/>
    </xf>
    <xf numFmtId="0" fontId="13" fillId="5" borderId="6" xfId="0" applyFont="1" applyFill="1" applyBorder="1" applyAlignment="1" applyProtection="1">
      <alignment horizontal="center"/>
    </xf>
    <xf numFmtId="168" fontId="18" fillId="5" borderId="5" xfId="4" applyNumberFormat="1" applyFont="1" applyFill="1" applyBorder="1" applyAlignment="1" applyProtection="1">
      <alignment horizontal="center"/>
    </xf>
    <xf numFmtId="0" fontId="20" fillId="5" borderId="5" xfId="0" applyFont="1" applyFill="1" applyBorder="1" applyAlignment="1" applyProtection="1"/>
    <xf numFmtId="0" fontId="20" fillId="5" borderId="0" xfId="0" applyFont="1" applyFill="1" applyBorder="1" applyAlignment="1" applyProtection="1"/>
    <xf numFmtId="0" fontId="20" fillId="5" borderId="6" xfId="0" applyFont="1" applyFill="1" applyBorder="1" applyAlignment="1" applyProtection="1"/>
    <xf numFmtId="0" fontId="13" fillId="3" borderId="0" xfId="0" applyFont="1" applyFill="1" applyBorder="1" applyAlignment="1" applyProtection="1">
      <alignment horizontal="center"/>
    </xf>
    <xf numFmtId="168" fontId="13" fillId="3" borderId="0" xfId="7" applyNumberFormat="1" applyFont="1" applyFill="1" applyBorder="1" applyAlignment="1" applyProtection="1"/>
    <xf numFmtId="168" fontId="19" fillId="3" borderId="0" xfId="4" applyNumberFormat="1" applyFont="1" applyFill="1" applyBorder="1" applyAlignment="1" applyProtection="1"/>
    <xf numFmtId="10" fontId="19" fillId="3" borderId="0" xfId="1" applyNumberFormat="1" applyFont="1" applyFill="1" applyBorder="1" applyAlignment="1" applyProtection="1"/>
    <xf numFmtId="10" fontId="13" fillId="3" borderId="0" xfId="1" applyNumberFormat="1" applyFont="1" applyFill="1" applyBorder="1" applyAlignment="1" applyProtection="1"/>
    <xf numFmtId="10" fontId="13" fillId="3" borderId="6" xfId="1" applyNumberFormat="1" applyFont="1" applyFill="1" applyBorder="1" applyAlignment="1" applyProtection="1"/>
    <xf numFmtId="168" fontId="13" fillId="3" borderId="6" xfId="4" applyNumberFormat="1" applyFont="1" applyFill="1" applyBorder="1" applyAlignment="1" applyProtection="1"/>
    <xf numFmtId="168" fontId="13" fillId="3" borderId="5" xfId="4" applyNumberFormat="1" applyFont="1" applyFill="1" applyBorder="1" applyAlignment="1" applyProtection="1">
      <alignment horizontal="center"/>
    </xf>
    <xf numFmtId="10" fontId="13" fillId="3" borderId="6" xfId="1" applyNumberFormat="1" applyFont="1" applyFill="1" applyBorder="1" applyAlignment="1" applyProtection="1">
      <alignment horizontal="center"/>
    </xf>
    <xf numFmtId="168" fontId="13" fillId="3" borderId="0" xfId="4" applyNumberFormat="1" applyFont="1" applyFill="1" applyBorder="1" applyAlignment="1" applyProtection="1"/>
    <xf numFmtId="168" fontId="13" fillId="3" borderId="8" xfId="7" applyNumberFormat="1" applyFont="1" applyFill="1" applyBorder="1" applyAlignment="1" applyProtection="1"/>
    <xf numFmtId="168" fontId="19" fillId="3" borderId="8" xfId="4" applyNumberFormat="1" applyFont="1" applyFill="1" applyBorder="1" applyAlignment="1" applyProtection="1"/>
    <xf numFmtId="10" fontId="19" fillId="3" borderId="8" xfId="1" applyNumberFormat="1" applyFont="1" applyFill="1" applyBorder="1" applyAlignment="1" applyProtection="1"/>
    <xf numFmtId="10" fontId="13" fillId="3" borderId="9" xfId="1" applyNumberFormat="1" applyFont="1" applyFill="1" applyBorder="1" applyAlignment="1" applyProtection="1"/>
    <xf numFmtId="168" fontId="13" fillId="3" borderId="9" xfId="4" applyNumberFormat="1" applyFont="1" applyFill="1" applyBorder="1" applyAlignment="1" applyProtection="1"/>
    <xf numFmtId="0" fontId="13" fillId="0" borderId="0" xfId="0" applyFont="1" applyBorder="1" applyAlignment="1" applyProtection="1">
      <alignment horizontal="center"/>
    </xf>
    <xf numFmtId="0" fontId="15" fillId="0" borderId="0" xfId="0" applyFont="1" applyBorder="1" applyAlignment="1" applyProtection="1">
      <alignment horizontal="center"/>
    </xf>
    <xf numFmtId="10" fontId="13" fillId="0" borderId="0" xfId="1" applyNumberFormat="1" applyFont="1" applyBorder="1" applyAlignment="1" applyProtection="1">
      <alignment horizontal="center"/>
    </xf>
    <xf numFmtId="0" fontId="21" fillId="0" borderId="0" xfId="0" applyFont="1" applyBorder="1" applyAlignment="1" applyProtection="1">
      <alignment horizontal="center"/>
    </xf>
    <xf numFmtId="0" fontId="7" fillId="0" borderId="0" xfId="0" applyFont="1" applyBorder="1" applyAlignment="1" applyProtection="1">
      <alignment horizontal="center"/>
    </xf>
    <xf numFmtId="0" fontId="22" fillId="0" borderId="0" xfId="0" applyFont="1" applyBorder="1" applyAlignment="1" applyProtection="1">
      <alignment horizontal="center"/>
    </xf>
    <xf numFmtId="0" fontId="23" fillId="0" borderId="0" xfId="0" applyFont="1"/>
    <xf numFmtId="0" fontId="3" fillId="2" borderId="17" xfId="2" applyBorder="1" applyAlignment="1" applyProtection="1">
      <alignment horizontal="center"/>
    </xf>
    <xf numFmtId="0" fontId="25" fillId="8" borderId="21" xfId="8" applyFont="1" applyBorder="1" applyAlignment="1" applyProtection="1">
      <alignment horizontal="center"/>
    </xf>
    <xf numFmtId="0" fontId="25" fillId="8" borderId="22" xfId="8" applyFont="1" applyBorder="1" applyAlignment="1" applyProtection="1">
      <alignment horizontal="center"/>
    </xf>
    <xf numFmtId="0" fontId="25" fillId="8" borderId="0" xfId="8" applyFont="1" applyBorder="1" applyAlignment="1" applyProtection="1">
      <alignment horizontal="center"/>
    </xf>
    <xf numFmtId="0" fontId="25" fillId="8" borderId="23" xfId="8" applyFont="1" applyBorder="1" applyAlignment="1" applyProtection="1">
      <alignment horizontal="center"/>
    </xf>
    <xf numFmtId="10" fontId="25" fillId="8" borderId="22" xfId="8" applyNumberFormat="1" applyFont="1" applyBorder="1" applyAlignment="1" applyProtection="1">
      <alignment horizontal="center"/>
    </xf>
    <xf numFmtId="0" fontId="26" fillId="0" borderId="21" xfId="0" applyFont="1" applyFill="1" applyBorder="1" applyAlignment="1" applyProtection="1">
      <alignment horizontal="center"/>
    </xf>
    <xf numFmtId="168" fontId="26" fillId="0" borderId="22" xfId="7" applyNumberFormat="1" applyFont="1" applyFill="1" applyBorder="1" applyAlignment="1" applyProtection="1">
      <alignment horizontal="center"/>
    </xf>
    <xf numFmtId="168" fontId="26" fillId="0" borderId="0" xfId="7" applyNumberFormat="1" applyFont="1" applyFill="1" applyBorder="1" applyAlignment="1" applyProtection="1">
      <alignment horizontal="center"/>
    </xf>
    <xf numFmtId="168" fontId="27" fillId="0" borderId="0" xfId="7" applyNumberFormat="1" applyFont="1" applyFill="1" applyBorder="1" applyAlignment="1" applyProtection="1">
      <alignment horizontal="center"/>
    </xf>
    <xf numFmtId="168" fontId="27" fillId="0" borderId="23" xfId="7" applyNumberFormat="1" applyFont="1" applyFill="1" applyBorder="1" applyAlignment="1" applyProtection="1">
      <alignment horizontal="center"/>
    </xf>
    <xf numFmtId="10" fontId="26" fillId="0" borderId="22" xfId="1" applyNumberFormat="1" applyFont="1" applyFill="1" applyBorder="1" applyAlignment="1" applyProtection="1">
      <alignment horizontal="center"/>
    </xf>
    <xf numFmtId="10" fontId="26" fillId="0" borderId="0" xfId="1" applyNumberFormat="1" applyFont="1" applyFill="1" applyBorder="1" applyAlignment="1" applyProtection="1">
      <alignment horizontal="center"/>
    </xf>
    <xf numFmtId="10" fontId="26" fillId="0" borderId="23" xfId="1" applyNumberFormat="1" applyFont="1" applyFill="1" applyBorder="1" applyAlignment="1" applyProtection="1">
      <alignment horizontal="center"/>
    </xf>
    <xf numFmtId="168" fontId="28" fillId="0" borderId="22" xfId="7" applyNumberFormat="1" applyFont="1" applyFill="1" applyBorder="1" applyAlignment="1" applyProtection="1">
      <alignment horizontal="center"/>
      <protection locked="0"/>
    </xf>
    <xf numFmtId="168" fontId="28" fillId="0" borderId="23" xfId="7" applyNumberFormat="1" applyFont="1" applyFill="1" applyBorder="1" applyAlignment="1" applyProtection="1">
      <alignment horizontal="center"/>
      <protection locked="0"/>
    </xf>
    <xf numFmtId="168" fontId="26" fillId="0" borderId="24" xfId="7" applyNumberFormat="1" applyFont="1" applyFill="1" applyBorder="1" applyAlignment="1" applyProtection="1">
      <alignment horizontal="center"/>
    </xf>
    <xf numFmtId="168" fontId="26" fillId="0" borderId="16" xfId="7" applyNumberFormat="1" applyFont="1" applyFill="1" applyBorder="1" applyAlignment="1" applyProtection="1">
      <alignment horizontal="center"/>
    </xf>
    <xf numFmtId="168" fontId="27" fillId="0" borderId="16" xfId="7" applyNumberFormat="1" applyFont="1" applyFill="1" applyBorder="1" applyAlignment="1" applyProtection="1">
      <alignment horizontal="center"/>
    </xf>
    <xf numFmtId="168" fontId="27" fillId="0" borderId="25" xfId="7" applyNumberFormat="1" applyFont="1" applyFill="1" applyBorder="1" applyAlignment="1" applyProtection="1">
      <alignment horizontal="center"/>
    </xf>
    <xf numFmtId="10" fontId="26" fillId="0" borderId="24" xfId="1" applyNumberFormat="1" applyFont="1" applyFill="1" applyBorder="1" applyAlignment="1" applyProtection="1">
      <alignment horizontal="center"/>
    </xf>
    <xf numFmtId="10" fontId="26" fillId="0" borderId="16" xfId="1" applyNumberFormat="1" applyFont="1" applyFill="1" applyBorder="1" applyAlignment="1" applyProtection="1">
      <alignment horizontal="center"/>
    </xf>
    <xf numFmtId="0" fontId="29" fillId="0" borderId="0" xfId="0" applyFont="1" applyFill="1" applyBorder="1" applyAlignment="1" applyProtection="1">
      <alignment horizontal="center"/>
    </xf>
    <xf numFmtId="0" fontId="30" fillId="0" borderId="0" xfId="0" applyFont="1" applyFill="1" applyBorder="1"/>
    <xf numFmtId="0" fontId="31" fillId="0" borderId="0" xfId="0" applyFont="1" applyFill="1" applyBorder="1"/>
    <xf numFmtId="10" fontId="30" fillId="0" borderId="0" xfId="0" applyNumberFormat="1" applyFont="1" applyFill="1" applyBorder="1"/>
    <xf numFmtId="0" fontId="32" fillId="0" borderId="0" xfId="0" applyFont="1" applyFill="1" applyBorder="1"/>
    <xf numFmtId="0" fontId="33" fillId="0" borderId="0" xfId="0" applyFont="1" applyFill="1" applyBorder="1" applyAlignment="1" applyProtection="1">
      <alignment horizontal="center"/>
    </xf>
    <xf numFmtId="0" fontId="31" fillId="0" borderId="0" xfId="0" applyFont="1"/>
    <xf numFmtId="10" fontId="0" fillId="0" borderId="0" xfId="0" applyNumberFormat="1"/>
    <xf numFmtId="0" fontId="32" fillId="0" borderId="0" xfId="0" applyFont="1"/>
    <xf numFmtId="0" fontId="0" fillId="9" borderId="0" xfId="0" applyFill="1"/>
    <xf numFmtId="0" fontId="34" fillId="0" borderId="0" xfId="0" applyFont="1"/>
    <xf numFmtId="0" fontId="35" fillId="9" borderId="0" xfId="0" applyFont="1" applyFill="1" applyAlignment="1">
      <alignment vertical="center"/>
    </xf>
    <xf numFmtId="0" fontId="0" fillId="9" borderId="0" xfId="0" applyFill="1" applyAlignment="1">
      <alignment vertical="center"/>
    </xf>
    <xf numFmtId="0" fontId="36" fillId="9" borderId="0" xfId="0" applyFont="1" applyFill="1" applyAlignment="1">
      <alignment vertical="center"/>
    </xf>
    <xf numFmtId="1" fontId="0" fillId="9" borderId="0" xfId="0" applyNumberFormat="1" applyFill="1"/>
    <xf numFmtId="0" fontId="0" fillId="9" borderId="0" xfId="0" applyFill="1" applyAlignment="1">
      <alignment horizontal="center"/>
    </xf>
    <xf numFmtId="3" fontId="0" fillId="9" borderId="0" xfId="0" applyNumberFormat="1" applyFill="1" applyAlignment="1">
      <alignment horizontal="center"/>
    </xf>
    <xf numFmtId="167" fontId="3" fillId="9" borderId="0" xfId="4" applyNumberFormat="1" applyFont="1" applyFill="1"/>
    <xf numFmtId="10" fontId="3" fillId="9" borderId="0" xfId="1" applyNumberFormat="1" applyFont="1" applyFill="1"/>
    <xf numFmtId="0" fontId="3" fillId="9" borderId="0" xfId="0" applyFont="1" applyFill="1"/>
    <xf numFmtId="0" fontId="40" fillId="3" borderId="0" xfId="0" applyFont="1" applyFill="1" applyBorder="1" applyAlignment="1" applyProtection="1">
      <alignment horizontal="center"/>
      <protection locked="0"/>
    </xf>
    <xf numFmtId="0" fontId="2" fillId="3" borderId="15" xfId="0" applyFont="1" applyFill="1" applyBorder="1" applyAlignment="1">
      <alignment vertical="center"/>
    </xf>
    <xf numFmtId="0" fontId="37" fillId="0" borderId="0" xfId="0" applyFont="1" applyFill="1" applyAlignment="1">
      <alignment horizontal="center" vertical="center"/>
    </xf>
    <xf numFmtId="0" fontId="37" fillId="3" borderId="13" xfId="0" applyFont="1" applyFill="1" applyBorder="1" applyAlignment="1">
      <alignment horizontal="center" vertical="center"/>
    </xf>
    <xf numFmtId="3" fontId="41" fillId="3" borderId="13" xfId="3" applyNumberFormat="1" applyFont="1" applyFill="1" applyBorder="1" applyAlignment="1">
      <alignment horizontal="center" vertical="center" wrapText="1"/>
    </xf>
    <xf numFmtId="3" fontId="41" fillId="3" borderId="14" xfId="3" applyNumberFormat="1" applyFont="1" applyFill="1" applyBorder="1" applyAlignment="1">
      <alignment horizontal="center" vertical="center" wrapText="1"/>
    </xf>
    <xf numFmtId="3" fontId="41" fillId="3" borderId="15" xfId="3" applyNumberFormat="1" applyFont="1" applyFill="1" applyBorder="1" applyAlignment="1">
      <alignment horizontal="center" vertical="center" wrapText="1"/>
    </xf>
    <xf numFmtId="3" fontId="37" fillId="3" borderId="13" xfId="0" applyNumberFormat="1" applyFont="1" applyFill="1" applyBorder="1" applyAlignment="1">
      <alignment horizontal="center" vertical="center"/>
    </xf>
    <xf numFmtId="3" fontId="37" fillId="3" borderId="14" xfId="0" applyNumberFormat="1" applyFont="1" applyFill="1" applyBorder="1" applyAlignment="1">
      <alignment horizontal="center" vertical="center"/>
    </xf>
    <xf numFmtId="167" fontId="37" fillId="3" borderId="15" xfId="4" applyNumberFormat="1" applyFont="1" applyFill="1" applyBorder="1" applyAlignment="1">
      <alignment horizontal="center" vertical="center"/>
    </xf>
    <xf numFmtId="10" fontId="37" fillId="3" borderId="1" xfId="1" applyNumberFormat="1" applyFont="1" applyFill="1" applyBorder="1" applyAlignment="1">
      <alignment horizontal="center" vertical="center"/>
    </xf>
    <xf numFmtId="167" fontId="37" fillId="3" borderId="14" xfId="4" applyNumberFormat="1" applyFont="1" applyFill="1" applyBorder="1" applyAlignment="1">
      <alignment horizontal="center" vertical="center"/>
    </xf>
    <xf numFmtId="10" fontId="37" fillId="3" borderId="13" xfId="1" applyNumberFormat="1" applyFont="1" applyFill="1" applyBorder="1" applyAlignment="1">
      <alignment horizontal="center" vertical="center"/>
    </xf>
    <xf numFmtId="10" fontId="37" fillId="3" borderId="15" xfId="1" applyNumberFormat="1" applyFont="1" applyFill="1" applyBorder="1" applyAlignment="1">
      <alignment horizontal="center" vertical="center"/>
    </xf>
    <xf numFmtId="0" fontId="37" fillId="3" borderId="14" xfId="0" applyFont="1" applyFill="1" applyBorder="1" applyAlignment="1">
      <alignment horizontal="center" vertical="center"/>
    </xf>
    <xf numFmtId="0" fontId="42" fillId="3" borderId="1" xfId="2" applyFont="1" applyFill="1" applyBorder="1" applyAlignment="1">
      <alignment horizontal="center"/>
    </xf>
    <xf numFmtId="0" fontId="37" fillId="0" borderId="0" xfId="0" applyFont="1" applyAlignment="1">
      <alignment horizontal="center" vertical="center"/>
    </xf>
    <xf numFmtId="0" fontId="43" fillId="0" borderId="0" xfId="0" applyFont="1" applyFill="1"/>
    <xf numFmtId="0" fontId="41" fillId="3" borderId="2" xfId="3" applyFont="1" applyFill="1" applyBorder="1" applyAlignment="1">
      <alignment horizontal="center" wrapText="1"/>
    </xf>
    <xf numFmtId="0" fontId="43" fillId="3" borderId="3" xfId="0" applyFont="1" applyFill="1" applyBorder="1"/>
    <xf numFmtId="0" fontId="44" fillId="3" borderId="2" xfId="5" applyFont="1" applyFill="1" applyBorder="1" applyAlignment="1" applyProtection="1">
      <alignment horizontal="center" vertical="center" wrapText="1"/>
    </xf>
    <xf numFmtId="3" fontId="41" fillId="3" borderId="3" xfId="3" applyNumberFormat="1" applyFont="1" applyFill="1" applyBorder="1" applyAlignment="1">
      <alignment horizontal="center" wrapText="1"/>
    </xf>
    <xf numFmtId="3" fontId="41" fillId="3" borderId="4" xfId="3" applyNumberFormat="1" applyFont="1" applyFill="1" applyBorder="1" applyAlignment="1">
      <alignment horizontal="center" wrapText="1"/>
    </xf>
    <xf numFmtId="167" fontId="43" fillId="3" borderId="2" xfId="4" applyNumberFormat="1" applyFont="1" applyFill="1" applyBorder="1" applyAlignment="1">
      <alignment horizontal="center"/>
    </xf>
    <xf numFmtId="3" fontId="43" fillId="3" borderId="3" xfId="0" applyNumberFormat="1" applyFont="1" applyFill="1" applyBorder="1" applyAlignment="1">
      <alignment horizontal="center"/>
    </xf>
    <xf numFmtId="167" fontId="43" fillId="3" borderId="4" xfId="4" applyNumberFormat="1" applyFont="1" applyFill="1" applyBorder="1" applyAlignment="1">
      <alignment horizontal="center"/>
    </xf>
    <xf numFmtId="10" fontId="43" fillId="3" borderId="10" xfId="1" applyNumberFormat="1" applyFont="1" applyFill="1" applyBorder="1" applyAlignment="1">
      <alignment horizontal="center"/>
    </xf>
    <xf numFmtId="167" fontId="43" fillId="3" borderId="3" xfId="4" applyNumberFormat="1" applyFont="1" applyFill="1" applyBorder="1" applyAlignment="1">
      <alignment horizontal="center"/>
    </xf>
    <xf numFmtId="10" fontId="43" fillId="3" borderId="2" xfId="1" applyNumberFormat="1" applyFont="1" applyFill="1" applyBorder="1" applyAlignment="1">
      <alignment horizontal="center"/>
    </xf>
    <xf numFmtId="10" fontId="43" fillId="3" borderId="4" xfId="1" applyNumberFormat="1" applyFont="1" applyFill="1" applyBorder="1" applyAlignment="1">
      <alignment horizontal="center"/>
    </xf>
    <xf numFmtId="0" fontId="43" fillId="3" borderId="10" xfId="1" applyNumberFormat="1" applyFont="1" applyFill="1" applyBorder="1" applyAlignment="1">
      <alignment horizontal="left"/>
    </xf>
    <xf numFmtId="0" fontId="43" fillId="0" borderId="0" xfId="0" applyFont="1"/>
    <xf numFmtId="0" fontId="41" fillId="3" borderId="5" xfId="3" applyFont="1" applyFill="1" applyBorder="1" applyAlignment="1">
      <alignment horizontal="center" wrapText="1"/>
    </xf>
    <xf numFmtId="0" fontId="43" fillId="3" borderId="0" xfId="0" applyFont="1" applyFill="1" applyBorder="1"/>
    <xf numFmtId="0" fontId="44" fillId="3" borderId="5" xfId="5" applyFont="1" applyFill="1" applyBorder="1" applyAlignment="1" applyProtection="1">
      <alignment horizontal="center" vertical="center" wrapText="1"/>
    </xf>
    <xf numFmtId="3" fontId="41" fillId="3" borderId="0" xfId="3" applyNumberFormat="1" applyFont="1" applyFill="1" applyBorder="1" applyAlignment="1">
      <alignment horizontal="center" wrapText="1"/>
    </xf>
    <xf numFmtId="3" fontId="41" fillId="3" borderId="6" xfId="3" applyNumberFormat="1" applyFont="1" applyFill="1" applyBorder="1" applyAlignment="1">
      <alignment horizontal="center" wrapText="1"/>
    </xf>
    <xf numFmtId="167" fontId="43" fillId="3" borderId="5" xfId="4" applyNumberFormat="1" applyFont="1" applyFill="1" applyBorder="1" applyAlignment="1">
      <alignment horizontal="center"/>
    </xf>
    <xf numFmtId="3" fontId="43" fillId="3" borderId="0" xfId="0" applyNumberFormat="1" applyFont="1" applyFill="1" applyBorder="1" applyAlignment="1">
      <alignment horizontal="center"/>
    </xf>
    <xf numFmtId="167" fontId="43" fillId="3" borderId="6" xfId="4" applyNumberFormat="1" applyFont="1" applyFill="1" applyBorder="1" applyAlignment="1">
      <alignment horizontal="center"/>
    </xf>
    <xf numFmtId="10" fontId="43" fillId="3" borderId="11" xfId="1" applyNumberFormat="1" applyFont="1" applyFill="1" applyBorder="1" applyAlignment="1">
      <alignment horizontal="center"/>
    </xf>
    <xf numFmtId="167" fontId="43" fillId="3" borderId="0" xfId="4" applyNumberFormat="1" applyFont="1" applyFill="1" applyBorder="1" applyAlignment="1">
      <alignment horizontal="center"/>
    </xf>
    <xf numFmtId="10" fontId="43" fillId="3" borderId="5" xfId="1" applyNumberFormat="1" applyFont="1" applyFill="1" applyBorder="1" applyAlignment="1">
      <alignment horizontal="center"/>
    </xf>
    <xf numFmtId="10" fontId="43" fillId="3" borderId="6" xfId="1" applyNumberFormat="1" applyFont="1" applyFill="1" applyBorder="1" applyAlignment="1">
      <alignment horizontal="center"/>
    </xf>
    <xf numFmtId="0" fontId="43" fillId="3" borderId="11" xfId="1" applyNumberFormat="1" applyFont="1" applyFill="1" applyBorder="1" applyAlignment="1">
      <alignment horizontal="left"/>
    </xf>
    <xf numFmtId="0" fontId="41" fillId="3" borderId="7" xfId="3" applyFont="1" applyFill="1" applyBorder="1" applyAlignment="1">
      <alignment horizontal="center" wrapText="1"/>
    </xf>
    <xf numFmtId="0" fontId="43" fillId="3" borderId="8" xfId="0" applyFont="1" applyFill="1" applyBorder="1"/>
    <xf numFmtId="0" fontId="44" fillId="3" borderId="7" xfId="5" applyFont="1" applyFill="1" applyBorder="1" applyAlignment="1" applyProtection="1">
      <alignment horizontal="center" vertical="center" wrapText="1"/>
    </xf>
    <xf numFmtId="3" fontId="41" fillId="3" borderId="8" xfId="3" applyNumberFormat="1" applyFont="1" applyFill="1" applyBorder="1" applyAlignment="1">
      <alignment horizontal="center" wrapText="1"/>
    </xf>
    <xf numFmtId="3" fontId="41" fillId="3" borderId="9" xfId="3" applyNumberFormat="1" applyFont="1" applyFill="1" applyBorder="1" applyAlignment="1">
      <alignment horizontal="center" wrapText="1"/>
    </xf>
    <xf numFmtId="167" fontId="43" fillId="3" borderId="7" xfId="4" applyNumberFormat="1" applyFont="1" applyFill="1" applyBorder="1" applyAlignment="1">
      <alignment horizontal="center"/>
    </xf>
    <xf numFmtId="3" fontId="43" fillId="3" borderId="8" xfId="0" applyNumberFormat="1" applyFont="1" applyFill="1" applyBorder="1" applyAlignment="1">
      <alignment horizontal="center"/>
    </xf>
    <xf numFmtId="167" fontId="43" fillId="3" borderId="9" xfId="4" applyNumberFormat="1" applyFont="1" applyFill="1" applyBorder="1" applyAlignment="1">
      <alignment horizontal="center"/>
    </xf>
    <xf numFmtId="10" fontId="43" fillId="3" borderId="12" xfId="1" applyNumberFormat="1" applyFont="1" applyFill="1" applyBorder="1" applyAlignment="1">
      <alignment horizontal="center"/>
    </xf>
    <xf numFmtId="167" fontId="43" fillId="3" borderId="8" xfId="4" applyNumberFormat="1" applyFont="1" applyFill="1" applyBorder="1" applyAlignment="1">
      <alignment horizontal="center"/>
    </xf>
    <xf numFmtId="10" fontId="43" fillId="3" borderId="7" xfId="1" applyNumberFormat="1" applyFont="1" applyFill="1" applyBorder="1" applyAlignment="1">
      <alignment horizontal="center"/>
    </xf>
    <xf numFmtId="10" fontId="43" fillId="3" borderId="9" xfId="1" applyNumberFormat="1" applyFont="1" applyFill="1" applyBorder="1" applyAlignment="1">
      <alignment horizontal="center"/>
    </xf>
    <xf numFmtId="0" fontId="43" fillId="3" borderId="12" xfId="1" applyNumberFormat="1" applyFont="1" applyFill="1" applyBorder="1" applyAlignment="1">
      <alignment horizontal="left"/>
    </xf>
    <xf numFmtId="0" fontId="0" fillId="9" borderId="0" xfId="0" applyFont="1" applyFill="1" applyAlignment="1">
      <alignment horizontal="center"/>
    </xf>
    <xf numFmtId="0" fontId="0" fillId="9" borderId="0" xfId="0" applyFont="1" applyFill="1"/>
    <xf numFmtId="0" fontId="0" fillId="0" borderId="0" xfId="0" applyFont="1" applyAlignment="1">
      <alignment horizontal="center"/>
    </xf>
    <xf numFmtId="0" fontId="0" fillId="0" borderId="0" xfId="0" applyFont="1"/>
    <xf numFmtId="0" fontId="42" fillId="10" borderId="13" xfId="2" applyFont="1" applyFill="1" applyBorder="1" applyAlignment="1">
      <alignment horizontal="center"/>
    </xf>
    <xf numFmtId="0" fontId="42" fillId="10" borderId="14" xfId="2" applyFont="1" applyFill="1" applyBorder="1" applyAlignment="1">
      <alignment horizontal="center"/>
    </xf>
    <xf numFmtId="167" fontId="43" fillId="10" borderId="0" xfId="4" applyNumberFormat="1" applyFont="1" applyFill="1" applyAlignment="1">
      <alignment horizontal="center"/>
    </xf>
    <xf numFmtId="0" fontId="45" fillId="0" borderId="0" xfId="0" applyFont="1" applyFill="1" applyAlignment="1">
      <alignment horizontal="center" vertical="center"/>
    </xf>
    <xf numFmtId="0" fontId="45" fillId="3" borderId="13" xfId="0" applyFont="1" applyFill="1" applyBorder="1" applyAlignment="1">
      <alignment vertical="center"/>
    </xf>
    <xf numFmtId="0" fontId="45" fillId="3" borderId="15" xfId="0" applyFont="1" applyFill="1" applyBorder="1" applyAlignment="1">
      <alignment vertical="center"/>
    </xf>
    <xf numFmtId="0" fontId="45" fillId="3" borderId="13" xfId="0" applyFont="1" applyFill="1" applyBorder="1" applyAlignment="1">
      <alignment horizontal="center" vertical="center"/>
    </xf>
    <xf numFmtId="1" fontId="46" fillId="3" borderId="4" xfId="1" applyNumberFormat="1" applyFont="1" applyFill="1" applyBorder="1" applyAlignment="1">
      <alignment horizontal="center" vertical="center"/>
    </xf>
    <xf numFmtId="3" fontId="47" fillId="3" borderId="13" xfId="3" applyNumberFormat="1" applyFont="1" applyFill="1" applyBorder="1" applyAlignment="1">
      <alignment horizontal="center" vertical="center" wrapText="1"/>
    </xf>
    <xf numFmtId="3" fontId="47" fillId="3" borderId="14" xfId="3" applyNumberFormat="1" applyFont="1" applyFill="1" applyBorder="1" applyAlignment="1">
      <alignment horizontal="center" vertical="center" wrapText="1"/>
    </xf>
    <xf numFmtId="3" fontId="47" fillId="3" borderId="15" xfId="3" applyNumberFormat="1" applyFont="1" applyFill="1" applyBorder="1" applyAlignment="1">
      <alignment horizontal="center" vertical="center" wrapText="1"/>
    </xf>
    <xf numFmtId="3" fontId="45" fillId="3" borderId="13" xfId="0" applyNumberFormat="1" applyFont="1" applyFill="1" applyBorder="1" applyAlignment="1">
      <alignment horizontal="center" vertical="center"/>
    </xf>
    <xf numFmtId="3" fontId="45" fillId="3" borderId="14" xfId="0" applyNumberFormat="1" applyFont="1" applyFill="1" applyBorder="1" applyAlignment="1">
      <alignment horizontal="center" vertical="center"/>
    </xf>
    <xf numFmtId="167" fontId="45" fillId="3" borderId="15" xfId="4" applyNumberFormat="1" applyFont="1" applyFill="1" applyBorder="1" applyAlignment="1">
      <alignment horizontal="center" vertical="center"/>
    </xf>
    <xf numFmtId="167" fontId="45" fillId="3" borderId="14" xfId="4" applyNumberFormat="1" applyFont="1" applyFill="1" applyBorder="1" applyAlignment="1">
      <alignment horizontal="center" vertical="center"/>
    </xf>
    <xf numFmtId="0" fontId="45" fillId="3" borderId="14" xfId="0" applyFont="1" applyFill="1" applyBorder="1" applyAlignment="1">
      <alignment horizontal="center" vertical="center"/>
    </xf>
    <xf numFmtId="0" fontId="25" fillId="3" borderId="1" xfId="2" applyFont="1" applyFill="1" applyBorder="1" applyAlignment="1">
      <alignment horizontal="center"/>
    </xf>
    <xf numFmtId="0" fontId="45" fillId="0" borderId="0" xfId="0" applyFont="1" applyAlignment="1">
      <alignment horizontal="center" vertical="center"/>
    </xf>
    <xf numFmtId="0" fontId="48" fillId="0" borderId="0" xfId="0" applyFont="1" applyFill="1"/>
    <xf numFmtId="0" fontId="47" fillId="3" borderId="2" xfId="3" applyFont="1" applyFill="1" applyBorder="1" applyAlignment="1">
      <alignment horizontal="center" wrapText="1"/>
    </xf>
    <xf numFmtId="0" fontId="48" fillId="3" borderId="3" xfId="0" applyFont="1" applyFill="1" applyBorder="1"/>
    <xf numFmtId="0" fontId="49" fillId="3" borderId="2" xfId="5" applyFont="1" applyFill="1" applyBorder="1" applyAlignment="1" applyProtection="1">
      <alignment horizontal="center" vertical="center" wrapText="1"/>
    </xf>
    <xf numFmtId="3" fontId="47" fillId="3" borderId="3" xfId="3" applyNumberFormat="1" applyFont="1" applyFill="1" applyBorder="1" applyAlignment="1">
      <alignment horizontal="center" wrapText="1"/>
    </xf>
    <xf numFmtId="3" fontId="47" fillId="3" borderId="4" xfId="3" applyNumberFormat="1" applyFont="1" applyFill="1" applyBorder="1" applyAlignment="1">
      <alignment horizontal="center" wrapText="1"/>
    </xf>
    <xf numFmtId="167" fontId="48" fillId="3" borderId="2" xfId="4" applyNumberFormat="1" applyFont="1" applyFill="1" applyBorder="1" applyAlignment="1">
      <alignment horizontal="center"/>
    </xf>
    <xf numFmtId="3" fontId="48" fillId="3" borderId="3" xfId="0" applyNumberFormat="1" applyFont="1" applyFill="1" applyBorder="1" applyAlignment="1">
      <alignment horizontal="center"/>
    </xf>
    <xf numFmtId="167" fontId="48" fillId="3" borderId="4" xfId="4" applyNumberFormat="1" applyFont="1" applyFill="1" applyBorder="1" applyAlignment="1">
      <alignment horizontal="center"/>
    </xf>
    <xf numFmtId="167" fontId="48" fillId="3" borderId="3" xfId="4" applyNumberFormat="1" applyFont="1" applyFill="1" applyBorder="1" applyAlignment="1">
      <alignment horizontal="center"/>
    </xf>
    <xf numFmtId="0" fontId="48" fillId="3" borderId="10" xfId="1" applyNumberFormat="1" applyFont="1" applyFill="1" applyBorder="1" applyAlignment="1">
      <alignment horizontal="left"/>
    </xf>
    <xf numFmtId="0" fontId="48" fillId="0" borderId="0" xfId="0" applyFont="1"/>
    <xf numFmtId="0" fontId="47" fillId="3" borderId="5" xfId="3" applyFont="1" applyFill="1" applyBorder="1" applyAlignment="1">
      <alignment horizontal="center" wrapText="1"/>
    </xf>
    <xf numFmtId="0" fontId="48" fillId="3" borderId="0" xfId="0" applyFont="1" applyFill="1" applyBorder="1"/>
    <xf numFmtId="0" fontId="49" fillId="3" borderId="5" xfId="5" applyFont="1" applyFill="1" applyBorder="1" applyAlignment="1" applyProtection="1">
      <alignment horizontal="center" vertical="center" wrapText="1"/>
    </xf>
    <xf numFmtId="1" fontId="46" fillId="3" borderId="6" xfId="1" applyNumberFormat="1" applyFont="1" applyFill="1" applyBorder="1" applyAlignment="1">
      <alignment horizontal="center" vertical="center"/>
    </xf>
    <xf numFmtId="3" fontId="47" fillId="3" borderId="0" xfId="3" applyNumberFormat="1" applyFont="1" applyFill="1" applyBorder="1" applyAlignment="1">
      <alignment horizontal="center" wrapText="1"/>
    </xf>
    <xf numFmtId="3" fontId="47" fillId="3" borderId="6" xfId="3" applyNumberFormat="1" applyFont="1" applyFill="1" applyBorder="1" applyAlignment="1">
      <alignment horizontal="center" wrapText="1"/>
    </xf>
    <xf numFmtId="167" fontId="48" fillId="3" borderId="5" xfId="4" applyNumberFormat="1" applyFont="1" applyFill="1" applyBorder="1" applyAlignment="1">
      <alignment horizontal="center"/>
    </xf>
    <xf numFmtId="3" fontId="48" fillId="3" borderId="0" xfId="0" applyNumberFormat="1" applyFont="1" applyFill="1" applyBorder="1" applyAlignment="1">
      <alignment horizontal="center"/>
    </xf>
    <xf numFmtId="167" fontId="48" fillId="3" borderId="6" xfId="4" applyNumberFormat="1" applyFont="1" applyFill="1" applyBorder="1" applyAlignment="1">
      <alignment horizontal="center"/>
    </xf>
    <xf numFmtId="167" fontId="48" fillId="3" borderId="0" xfId="4" applyNumberFormat="1" applyFont="1" applyFill="1" applyBorder="1" applyAlignment="1">
      <alignment horizontal="center"/>
    </xf>
    <xf numFmtId="0" fontId="48" fillId="3" borderId="11" xfId="1" applyNumberFormat="1" applyFont="1" applyFill="1" applyBorder="1" applyAlignment="1">
      <alignment horizontal="left"/>
    </xf>
    <xf numFmtId="0" fontId="43" fillId="0" borderId="0" xfId="0" applyFont="1" applyFill="1" applyAlignment="1">
      <alignment wrapText="1"/>
    </xf>
    <xf numFmtId="0" fontId="42" fillId="10" borderId="2" xfId="2" applyFont="1" applyFill="1" applyBorder="1" applyAlignment="1">
      <alignment horizontal="center" wrapText="1"/>
    </xf>
    <xf numFmtId="0" fontId="42" fillId="10" borderId="3" xfId="2" applyFont="1" applyFill="1" applyBorder="1" applyAlignment="1">
      <alignment horizontal="center" wrapText="1"/>
    </xf>
    <xf numFmtId="0" fontId="42" fillId="10" borderId="5" xfId="2" applyFont="1" applyFill="1" applyBorder="1" applyAlignment="1">
      <alignment wrapText="1"/>
    </xf>
    <xf numFmtId="1" fontId="42" fillId="10" borderId="6" xfId="2" applyNumberFormat="1" applyFont="1" applyFill="1" applyBorder="1" applyAlignment="1">
      <alignment wrapText="1"/>
    </xf>
    <xf numFmtId="3" fontId="42" fillId="10" borderId="2" xfId="2" applyNumberFormat="1" applyFont="1" applyFill="1" applyBorder="1" applyAlignment="1">
      <alignment horizontal="center" wrapText="1"/>
    </xf>
    <xf numFmtId="3" fontId="42" fillId="10" borderId="3" xfId="2" applyNumberFormat="1" applyFont="1" applyFill="1" applyBorder="1" applyAlignment="1">
      <alignment horizontal="center" wrapText="1"/>
    </xf>
    <xf numFmtId="167" fontId="42" fillId="10" borderId="4" xfId="4" applyNumberFormat="1" applyFont="1" applyFill="1" applyBorder="1" applyAlignment="1">
      <alignment horizontal="center" wrapText="1"/>
    </xf>
    <xf numFmtId="10" fontId="42" fillId="10" borderId="10" xfId="1" applyNumberFormat="1" applyFont="1" applyFill="1" applyBorder="1" applyAlignment="1">
      <alignment horizontal="center" wrapText="1"/>
    </xf>
    <xf numFmtId="167" fontId="42" fillId="10" borderId="0" xfId="4" applyNumberFormat="1" applyFont="1" applyFill="1" applyBorder="1" applyAlignment="1">
      <alignment horizontal="center" wrapText="1"/>
    </xf>
    <xf numFmtId="10" fontId="42" fillId="10" borderId="5" xfId="1" applyNumberFormat="1" applyFont="1" applyFill="1" applyBorder="1" applyAlignment="1">
      <alignment horizontal="center" wrapText="1"/>
    </xf>
    <xf numFmtId="0" fontId="42" fillId="10" borderId="6" xfId="2" applyFont="1" applyFill="1" applyBorder="1" applyAlignment="1">
      <alignment horizontal="center" wrapText="1"/>
    </xf>
    <xf numFmtId="0" fontId="42" fillId="10" borderId="0" xfId="2" applyFont="1" applyFill="1" applyBorder="1" applyAlignment="1">
      <alignment horizontal="center" wrapText="1"/>
    </xf>
    <xf numFmtId="10" fontId="42" fillId="10" borderId="6" xfId="1" applyNumberFormat="1" applyFont="1" applyFill="1" applyBorder="1" applyAlignment="1">
      <alignment horizontal="center" wrapText="1"/>
    </xf>
    <xf numFmtId="0" fontId="43" fillId="0" borderId="0" xfId="0" applyFont="1" applyAlignment="1">
      <alignment wrapText="1"/>
    </xf>
    <xf numFmtId="0" fontId="38" fillId="10" borderId="2" xfId="2" applyFont="1" applyFill="1" applyBorder="1" applyAlignment="1">
      <alignment horizontal="center" wrapText="1"/>
    </xf>
    <xf numFmtId="0" fontId="38" fillId="10" borderId="3" xfId="2" applyFont="1" applyFill="1" applyBorder="1" applyAlignment="1">
      <alignment horizontal="center" wrapText="1"/>
    </xf>
    <xf numFmtId="0" fontId="38" fillId="10" borderId="4" xfId="2" applyFont="1" applyFill="1" applyBorder="1" applyAlignment="1">
      <alignment horizontal="center" wrapText="1"/>
    </xf>
    <xf numFmtId="1" fontId="42" fillId="10" borderId="6" xfId="2" applyNumberFormat="1" applyFont="1" applyFill="1" applyBorder="1" applyAlignment="1">
      <alignment horizontal="center" wrapText="1"/>
    </xf>
    <xf numFmtId="167" fontId="0" fillId="9" borderId="0" xfId="4" applyNumberFormat="1" applyFont="1" applyFill="1"/>
    <xf numFmtId="167" fontId="48" fillId="0" borderId="0" xfId="4" applyNumberFormat="1" applyFont="1"/>
    <xf numFmtId="10" fontId="48" fillId="0" borderId="0" xfId="1" applyNumberFormat="1" applyFont="1"/>
    <xf numFmtId="0" fontId="0" fillId="0" borderId="26" xfId="0" applyBorder="1" applyAlignment="1">
      <alignment horizontal="center"/>
    </xf>
    <xf numFmtId="0" fontId="3" fillId="10" borderId="26" xfId="0" applyFont="1" applyFill="1" applyBorder="1" applyAlignment="1">
      <alignment horizontal="center"/>
    </xf>
    <xf numFmtId="167" fontId="48" fillId="9" borderId="0" xfId="4" applyNumberFormat="1" applyFont="1" applyFill="1"/>
    <xf numFmtId="0" fontId="39" fillId="9" borderId="0" xfId="0" applyFont="1" applyFill="1" applyAlignment="1">
      <alignment vertical="center"/>
    </xf>
    <xf numFmtId="167" fontId="0" fillId="9" borderId="0" xfId="4" applyNumberFormat="1" applyFont="1" applyFill="1" applyAlignment="1">
      <alignment horizontal="center"/>
    </xf>
    <xf numFmtId="0" fontId="35" fillId="11" borderId="26" xfId="0" applyFont="1" applyFill="1" applyBorder="1" applyAlignment="1">
      <alignment horizontal="center" vertical="center"/>
    </xf>
    <xf numFmtId="0" fontId="36" fillId="11" borderId="26" xfId="0" applyFont="1" applyFill="1" applyBorder="1" applyAlignment="1">
      <alignment horizontal="center" vertical="center"/>
    </xf>
    <xf numFmtId="0" fontId="0" fillId="9" borderId="0" xfId="0" applyFill="1" applyAlignment="1">
      <alignment horizontal="center" vertical="center"/>
    </xf>
    <xf numFmtId="167" fontId="3" fillId="11" borderId="26" xfId="4" applyNumberFormat="1" applyFont="1" applyFill="1" applyBorder="1" applyAlignment="1">
      <alignment horizontal="center" vertical="center"/>
    </xf>
    <xf numFmtId="10" fontId="3" fillId="11" borderId="26" xfId="1" applyNumberFormat="1" applyFont="1" applyFill="1" applyBorder="1" applyAlignment="1">
      <alignment horizontal="center" vertical="center"/>
    </xf>
    <xf numFmtId="0" fontId="0" fillId="0" borderId="0" xfId="0" applyAlignment="1">
      <alignment horizontal="center" vertical="center"/>
    </xf>
    <xf numFmtId="0" fontId="43" fillId="0" borderId="26" xfId="0" applyFont="1" applyBorder="1" applyAlignment="1">
      <alignment horizontal="left"/>
    </xf>
    <xf numFmtId="0" fontId="42" fillId="10" borderId="26" xfId="0" applyFont="1" applyFill="1" applyBorder="1" applyAlignment="1">
      <alignment horizontal="left"/>
    </xf>
    <xf numFmtId="0" fontId="43" fillId="0" borderId="0" xfId="0" applyFont="1" applyAlignment="1">
      <alignment horizontal="left"/>
    </xf>
    <xf numFmtId="0" fontId="50" fillId="11" borderId="26" xfId="0" applyFont="1" applyFill="1" applyBorder="1" applyAlignment="1">
      <alignment horizontal="center" vertical="center"/>
    </xf>
    <xf numFmtId="0" fontId="48" fillId="0" borderId="0" xfId="0" applyFont="1" applyAlignment="1">
      <alignment horizontal="center"/>
    </xf>
    <xf numFmtId="0" fontId="42" fillId="10" borderId="14" xfId="2" applyFont="1" applyFill="1" applyBorder="1" applyAlignment="1">
      <alignment horizontal="center"/>
    </xf>
    <xf numFmtId="167" fontId="37" fillId="3" borderId="14" xfId="0" applyNumberFormat="1" applyFont="1" applyFill="1" applyBorder="1" applyAlignment="1">
      <alignment horizontal="center" vertical="center"/>
    </xf>
    <xf numFmtId="167" fontId="45" fillId="3" borderId="14" xfId="0" applyNumberFormat="1" applyFont="1" applyFill="1" applyBorder="1" applyAlignment="1">
      <alignment horizontal="center" vertical="center"/>
    </xf>
    <xf numFmtId="10" fontId="42" fillId="10" borderId="0" xfId="1" applyNumberFormat="1" applyFont="1" applyFill="1" applyBorder="1" applyAlignment="1">
      <alignment horizontal="center" wrapText="1"/>
    </xf>
    <xf numFmtId="165" fontId="48" fillId="3" borderId="0" xfId="4" applyFont="1" applyFill="1" applyBorder="1" applyAlignment="1">
      <alignment horizontal="center"/>
    </xf>
    <xf numFmtId="165" fontId="3" fillId="0" borderId="0" xfId="4" applyFont="1"/>
    <xf numFmtId="165" fontId="42" fillId="10" borderId="14" xfId="4" applyFont="1" applyFill="1" applyBorder="1" applyAlignment="1">
      <alignment horizontal="center"/>
    </xf>
    <xf numFmtId="165" fontId="42" fillId="10" borderId="0" xfId="4" applyFont="1" applyFill="1" applyBorder="1" applyAlignment="1">
      <alignment horizontal="center" wrapText="1"/>
    </xf>
    <xf numFmtId="165" fontId="45" fillId="3" borderId="14" xfId="4" applyFont="1" applyFill="1" applyBorder="1" applyAlignment="1">
      <alignment horizontal="center" vertical="center"/>
    </xf>
    <xf numFmtId="165" fontId="0" fillId="0" borderId="0" xfId="4" applyFont="1"/>
    <xf numFmtId="10" fontId="37" fillId="3" borderId="14" xfId="1" applyNumberFormat="1" applyFont="1" applyFill="1" applyBorder="1" applyAlignment="1">
      <alignment horizontal="center" vertical="center"/>
    </xf>
    <xf numFmtId="0" fontId="20" fillId="5" borderId="5" xfId="0" applyFont="1" applyFill="1" applyBorder="1" applyAlignment="1" applyProtection="1">
      <alignment horizontal="center"/>
    </xf>
    <xf numFmtId="0" fontId="20" fillId="5" borderId="6" xfId="0" applyFont="1" applyFill="1" applyBorder="1" applyAlignment="1" applyProtection="1">
      <alignment horizontal="center"/>
    </xf>
    <xf numFmtId="0" fontId="20" fillId="5" borderId="5" xfId="0" applyFont="1" applyFill="1" applyBorder="1" applyAlignment="1" applyProtection="1">
      <alignment horizontal="center" vertical="center"/>
    </xf>
    <xf numFmtId="0" fontId="20" fillId="5" borderId="0" xfId="0" applyFont="1" applyFill="1" applyBorder="1" applyAlignment="1" applyProtection="1">
      <alignment horizontal="center" wrapText="1"/>
    </xf>
    <xf numFmtId="168" fontId="13" fillId="3" borderId="6" xfId="7" applyNumberFormat="1" applyFont="1" applyFill="1" applyBorder="1" applyAlignment="1" applyProtection="1"/>
    <xf numFmtId="168" fontId="13" fillId="3" borderId="9" xfId="7" applyNumberFormat="1" applyFont="1" applyFill="1" applyBorder="1" applyAlignment="1" applyProtection="1"/>
    <xf numFmtId="168" fontId="51" fillId="3" borderId="5" xfId="7" applyNumberFormat="1" applyFont="1" applyFill="1" applyBorder="1" applyAlignment="1" applyProtection="1"/>
    <xf numFmtId="168" fontId="51" fillId="3" borderId="7" xfId="7" applyNumberFormat="1" applyFont="1" applyFill="1" applyBorder="1" applyAlignment="1" applyProtection="1"/>
    <xf numFmtId="168" fontId="51" fillId="3" borderId="0" xfId="7" applyNumberFormat="1" applyFont="1" applyFill="1" applyBorder="1" applyAlignment="1" applyProtection="1"/>
    <xf numFmtId="168" fontId="51" fillId="3" borderId="8" xfId="7" applyNumberFormat="1" applyFont="1" applyFill="1" applyBorder="1" applyAlignment="1" applyProtection="1"/>
    <xf numFmtId="168" fontId="51" fillId="3" borderId="5" xfId="4" applyNumberFormat="1" applyFont="1" applyFill="1" applyBorder="1" applyAlignment="1" applyProtection="1"/>
    <xf numFmtId="168" fontId="51" fillId="3" borderId="7" xfId="4" applyNumberFormat="1" applyFont="1" applyFill="1" applyBorder="1" applyAlignment="1" applyProtection="1"/>
    <xf numFmtId="167" fontId="13" fillId="3" borderId="0" xfId="4" applyNumberFormat="1" applyFont="1" applyFill="1" applyBorder="1" applyAlignment="1" applyProtection="1">
      <alignment horizontal="center"/>
    </xf>
    <xf numFmtId="167" fontId="13" fillId="3" borderId="8" xfId="4" applyNumberFormat="1" applyFont="1" applyFill="1" applyBorder="1" applyAlignment="1" applyProtection="1">
      <alignment horizontal="center"/>
    </xf>
    <xf numFmtId="10" fontId="51" fillId="3" borderId="5" xfId="1" applyNumberFormat="1" applyFont="1" applyFill="1" applyBorder="1" applyAlignment="1" applyProtection="1">
      <alignment horizontal="center"/>
    </xf>
    <xf numFmtId="10" fontId="51" fillId="3" borderId="7" xfId="1" applyNumberFormat="1" applyFont="1" applyFill="1" applyBorder="1" applyAlignment="1" applyProtection="1">
      <alignment horizontal="center"/>
    </xf>
    <xf numFmtId="10" fontId="13" fillId="6" borderId="7" xfId="1" applyNumberFormat="1" applyFont="1" applyFill="1" applyBorder="1" applyAlignment="1" applyProtection="1">
      <alignment horizontal="center" vertical="center"/>
    </xf>
    <xf numFmtId="0" fontId="19" fillId="0" borderId="8" xfId="0" applyFont="1" applyFill="1" applyBorder="1" applyAlignment="1" applyProtection="1">
      <alignment horizontal="center"/>
    </xf>
    <xf numFmtId="10" fontId="13" fillId="3" borderId="9" xfId="1" applyNumberFormat="1" applyFont="1" applyFill="1" applyBorder="1" applyAlignment="1" applyProtection="1">
      <alignment horizontal="center"/>
    </xf>
    <xf numFmtId="168" fontId="13" fillId="3" borderId="7" xfId="4" applyNumberFormat="1" applyFont="1" applyFill="1" applyBorder="1" applyAlignment="1" applyProtection="1">
      <alignment horizontal="center"/>
    </xf>
    <xf numFmtId="10" fontId="13" fillId="0" borderId="8" xfId="1" applyNumberFormat="1" applyFont="1" applyBorder="1" applyAlignment="1" applyProtection="1">
      <alignment horizontal="center"/>
    </xf>
    <xf numFmtId="167" fontId="13" fillId="3" borderId="5" xfId="4" applyNumberFormat="1" applyFont="1" applyFill="1" applyBorder="1" applyAlignment="1" applyProtection="1">
      <alignment horizontal="center"/>
    </xf>
    <xf numFmtId="167" fontId="13" fillId="3" borderId="7" xfId="4" applyNumberFormat="1" applyFont="1" applyFill="1" applyBorder="1" applyAlignment="1" applyProtection="1">
      <alignment horizontal="center"/>
    </xf>
    <xf numFmtId="10" fontId="51" fillId="3" borderId="5" xfId="1" applyNumberFormat="1" applyFont="1" applyFill="1" applyBorder="1" applyAlignment="1" applyProtection="1"/>
    <xf numFmtId="10" fontId="51" fillId="3" borderId="7" xfId="1" applyNumberFormat="1" applyFont="1" applyFill="1" applyBorder="1" applyAlignment="1" applyProtection="1"/>
    <xf numFmtId="0" fontId="52" fillId="0" borderId="0" xfId="0" applyFont="1"/>
    <xf numFmtId="0" fontId="13" fillId="0" borderId="29" xfId="0" applyFont="1" applyBorder="1"/>
    <xf numFmtId="168" fontId="13" fillId="0" borderId="30" xfId="4" applyNumberFormat="1" applyFont="1" applyFill="1" applyBorder="1"/>
    <xf numFmtId="168" fontId="13" fillId="0" borderId="26" xfId="4" applyNumberFormat="1" applyFont="1" applyFill="1" applyBorder="1"/>
    <xf numFmtId="168" fontId="13" fillId="0" borderId="26" xfId="0" applyNumberFormat="1" applyFont="1" applyBorder="1"/>
    <xf numFmtId="10" fontId="13" fillId="0" borderId="31" xfId="1" applyNumberFormat="1" applyFont="1" applyBorder="1"/>
    <xf numFmtId="168" fontId="13" fillId="0" borderId="30" xfId="0" applyNumberFormat="1" applyFont="1" applyBorder="1"/>
    <xf numFmtId="0" fontId="13" fillId="7" borderId="0" xfId="0" applyFont="1" applyFill="1" applyBorder="1"/>
    <xf numFmtId="0" fontId="13" fillId="7" borderId="6" xfId="0" applyFont="1" applyFill="1" applyBorder="1"/>
    <xf numFmtId="0" fontId="13" fillId="0" borderId="32" xfId="0" applyFont="1" applyBorder="1"/>
    <xf numFmtId="168" fontId="13" fillId="0" borderId="33" xfId="4" applyNumberFormat="1" applyFont="1" applyFill="1" applyBorder="1"/>
    <xf numFmtId="168" fontId="13" fillId="0" borderId="34" xfId="4" applyNumberFormat="1" applyFont="1" applyFill="1" applyBorder="1"/>
    <xf numFmtId="168" fontId="13" fillId="0" borderId="34" xfId="0" applyNumberFormat="1" applyFont="1" applyBorder="1"/>
    <xf numFmtId="168" fontId="13" fillId="0" borderId="33" xfId="0" applyNumberFormat="1" applyFont="1" applyBorder="1"/>
    <xf numFmtId="0" fontId="13" fillId="7" borderId="8" xfId="0" applyFont="1" applyFill="1" applyBorder="1"/>
    <xf numFmtId="0" fontId="13" fillId="7" borderId="9" xfId="0" applyFont="1" applyFill="1" applyBorder="1"/>
    <xf numFmtId="0" fontId="38" fillId="10" borderId="26" xfId="0" applyFont="1" applyFill="1" applyBorder="1" applyAlignment="1">
      <alignment horizontal="left"/>
    </xf>
    <xf numFmtId="0" fontId="35" fillId="9" borderId="0" xfId="0" applyFont="1" applyFill="1" applyAlignment="1">
      <alignment horizontal="left" vertical="center"/>
    </xf>
    <xf numFmtId="10" fontId="13" fillId="0" borderId="27" xfId="1" applyNumberFormat="1" applyFont="1" applyBorder="1"/>
    <xf numFmtId="0" fontId="38" fillId="10" borderId="36" xfId="0" applyFont="1" applyFill="1" applyBorder="1" applyAlignment="1">
      <alignment horizontal="left"/>
    </xf>
    <xf numFmtId="168" fontId="13" fillId="0" borderId="37" xfId="0" applyNumberFormat="1" applyFont="1" applyBorder="1"/>
    <xf numFmtId="168" fontId="13" fillId="0" borderId="38" xfId="0" applyNumberFormat="1" applyFont="1" applyBorder="1"/>
    <xf numFmtId="10" fontId="13" fillId="0" borderId="39" xfId="1" applyNumberFormat="1" applyFont="1" applyBorder="1"/>
    <xf numFmtId="10" fontId="13" fillId="0" borderId="40" xfId="1" applyNumberFormat="1" applyFont="1" applyBorder="1"/>
    <xf numFmtId="0" fontId="42" fillId="10" borderId="13" xfId="2" applyFont="1" applyFill="1" applyBorder="1" applyAlignment="1">
      <alignment horizontal="center"/>
    </xf>
    <xf numFmtId="0" fontId="42" fillId="10" borderId="14" xfId="2" applyFont="1" applyFill="1" applyBorder="1" applyAlignment="1">
      <alignment horizontal="center"/>
    </xf>
    <xf numFmtId="0" fontId="39" fillId="11" borderId="42" xfId="0" applyFont="1" applyFill="1" applyBorder="1" applyAlignment="1">
      <alignment horizontal="center" vertical="center"/>
    </xf>
    <xf numFmtId="0" fontId="0" fillId="11" borderId="42" xfId="0" applyFill="1" applyBorder="1" applyAlignment="1">
      <alignment horizontal="center" vertical="center"/>
    </xf>
    <xf numFmtId="0" fontId="53" fillId="11" borderId="41" xfId="0" applyFont="1" applyFill="1" applyBorder="1" applyAlignment="1">
      <alignment horizontal="center" vertical="center"/>
    </xf>
    <xf numFmtId="167" fontId="54" fillId="11" borderId="41" xfId="4" applyNumberFormat="1" applyFont="1" applyFill="1" applyBorder="1" applyAlignment="1">
      <alignment horizontal="center" vertical="center"/>
    </xf>
    <xf numFmtId="0" fontId="55" fillId="11" borderId="41" xfId="0" applyFont="1" applyFill="1" applyBorder="1" applyAlignment="1">
      <alignment horizontal="center" vertical="center"/>
    </xf>
    <xf numFmtId="10" fontId="54" fillId="11" borderId="41" xfId="1" applyNumberFormat="1" applyFont="1" applyFill="1" applyBorder="1" applyAlignment="1">
      <alignment horizontal="center" vertical="center"/>
    </xf>
    <xf numFmtId="0" fontId="54" fillId="11" borderId="41" xfId="0" applyFont="1" applyFill="1" applyBorder="1" applyAlignment="1">
      <alignment horizontal="center" vertical="center"/>
    </xf>
    <xf numFmtId="167" fontId="56" fillId="3" borderId="3" xfId="4" applyNumberFormat="1" applyFont="1" applyFill="1" applyBorder="1" applyAlignment="1">
      <alignment horizontal="center"/>
    </xf>
    <xf numFmtId="167" fontId="56" fillId="3" borderId="0" xfId="4" applyNumberFormat="1" applyFont="1" applyFill="1" applyBorder="1" applyAlignment="1">
      <alignment horizontal="center"/>
    </xf>
    <xf numFmtId="167" fontId="56" fillId="3" borderId="8" xfId="4" applyNumberFormat="1" applyFont="1" applyFill="1" applyBorder="1" applyAlignment="1">
      <alignment horizontal="center"/>
    </xf>
    <xf numFmtId="169" fontId="13" fillId="3" borderId="6" xfId="1" applyNumberFormat="1" applyFont="1" applyFill="1" applyBorder="1" applyAlignment="1" applyProtection="1">
      <alignment horizontal="center"/>
    </xf>
    <xf numFmtId="169" fontId="13" fillId="3" borderId="9" xfId="1" applyNumberFormat="1" applyFont="1" applyFill="1" applyBorder="1" applyAlignment="1" applyProtection="1">
      <alignment horizontal="center"/>
    </xf>
    <xf numFmtId="0" fontId="13" fillId="6" borderId="2" xfId="0" applyFont="1" applyFill="1" applyBorder="1" applyAlignment="1" applyProtection="1">
      <alignment horizontal="center"/>
    </xf>
    <xf numFmtId="0" fontId="13" fillId="7" borderId="3" xfId="0" applyFont="1" applyFill="1" applyBorder="1" applyAlignment="1" applyProtection="1">
      <alignment horizontal="center"/>
    </xf>
    <xf numFmtId="168" fontId="13" fillId="6" borderId="2" xfId="0" applyNumberFormat="1" applyFont="1" applyFill="1" applyBorder="1" applyAlignment="1" applyProtection="1"/>
    <xf numFmtId="10" fontId="13" fillId="6" borderId="2" xfId="1" applyNumberFormat="1" applyFont="1" applyFill="1" applyBorder="1" applyAlignment="1" applyProtection="1"/>
    <xf numFmtId="10" fontId="19" fillId="6" borderId="3" xfId="1" applyNumberFormat="1" applyFont="1" applyFill="1" applyBorder="1" applyAlignment="1" applyProtection="1"/>
    <xf numFmtId="10" fontId="13" fillId="6" borderId="2" xfId="1" applyNumberFormat="1" applyFont="1" applyFill="1" applyBorder="1" applyAlignment="1" applyProtection="1">
      <alignment horizontal="center"/>
    </xf>
    <xf numFmtId="10" fontId="19" fillId="0" borderId="3" xfId="1" applyNumberFormat="1" applyFont="1" applyFill="1" applyBorder="1" applyAlignment="1" applyProtection="1">
      <alignment horizontal="center"/>
    </xf>
    <xf numFmtId="0" fontId="13" fillId="0" borderId="3" xfId="0" applyFont="1" applyBorder="1" applyAlignment="1" applyProtection="1">
      <alignment horizontal="center"/>
    </xf>
    <xf numFmtId="0" fontId="13" fillId="6" borderId="7" xfId="0" applyFont="1" applyFill="1" applyBorder="1" applyAlignment="1" applyProtection="1">
      <alignment horizontal="center"/>
    </xf>
    <xf numFmtId="0" fontId="13" fillId="7" borderId="8" xfId="0" applyFont="1" applyFill="1" applyBorder="1" applyAlignment="1" applyProtection="1">
      <alignment horizontal="center"/>
    </xf>
    <xf numFmtId="168" fontId="13" fillId="6" borderId="7" xfId="0" applyNumberFormat="1" applyFont="1" applyFill="1" applyBorder="1" applyAlignment="1" applyProtection="1"/>
    <xf numFmtId="10" fontId="13" fillId="6" borderId="7" xfId="1" applyNumberFormat="1" applyFont="1" applyFill="1" applyBorder="1" applyAlignment="1" applyProtection="1"/>
    <xf numFmtId="0" fontId="19" fillId="6" borderId="8" xfId="0" applyFont="1" applyFill="1" applyBorder="1" applyAlignment="1" applyProtection="1"/>
    <xf numFmtId="9" fontId="20" fillId="5" borderId="10" xfId="1" applyFont="1" applyFill="1" applyBorder="1" applyAlignment="1" applyProtection="1">
      <alignment horizontal="center"/>
    </xf>
    <xf numFmtId="9" fontId="20" fillId="5" borderId="12" xfId="1" applyFont="1" applyFill="1" applyBorder="1" applyAlignment="1" applyProtection="1">
      <alignment horizontal="center"/>
    </xf>
    <xf numFmtId="10" fontId="13" fillId="3" borderId="10" xfId="1" applyNumberFormat="1" applyFont="1" applyFill="1" applyBorder="1" applyAlignment="1" applyProtection="1">
      <alignment horizontal="center"/>
    </xf>
    <xf numFmtId="10" fontId="13" fillId="3" borderId="11" xfId="1" applyNumberFormat="1" applyFont="1" applyFill="1" applyBorder="1" applyAlignment="1" applyProtection="1">
      <alignment horizontal="center"/>
    </xf>
    <xf numFmtId="10" fontId="13" fillId="3" borderId="12" xfId="1" applyNumberFormat="1" applyFont="1" applyFill="1" applyBorder="1" applyAlignment="1" applyProtection="1">
      <alignment horizontal="center"/>
    </xf>
    <xf numFmtId="169" fontId="3" fillId="0" borderId="0" xfId="1" applyNumberFormat="1" applyFont="1"/>
    <xf numFmtId="169" fontId="42" fillId="10" borderId="5" xfId="1" applyNumberFormat="1" applyFont="1" applyFill="1" applyBorder="1" applyAlignment="1">
      <alignment horizontal="center" wrapText="1"/>
    </xf>
    <xf numFmtId="169" fontId="45" fillId="3" borderId="13" xfId="1" applyNumberFormat="1" applyFont="1" applyFill="1" applyBorder="1" applyAlignment="1">
      <alignment horizontal="center" vertical="center"/>
    </xf>
    <xf numFmtId="169" fontId="48" fillId="3" borderId="2" xfId="1" applyNumberFormat="1" applyFont="1" applyFill="1" applyBorder="1" applyAlignment="1">
      <alignment horizontal="center"/>
    </xf>
    <xf numFmtId="169" fontId="48" fillId="3" borderId="5" xfId="1" applyNumberFormat="1" applyFont="1" applyFill="1" applyBorder="1" applyAlignment="1">
      <alignment horizontal="center"/>
    </xf>
    <xf numFmtId="169" fontId="0" fillId="0" borderId="0" xfId="1" applyNumberFormat="1" applyFont="1"/>
    <xf numFmtId="169" fontId="42" fillId="10" borderId="6" xfId="1" applyNumberFormat="1" applyFont="1" applyFill="1" applyBorder="1" applyAlignment="1">
      <alignment horizontal="center" wrapText="1"/>
    </xf>
    <xf numFmtId="169" fontId="45" fillId="3" borderId="15" xfId="1" applyNumberFormat="1" applyFont="1" applyFill="1" applyBorder="1" applyAlignment="1">
      <alignment horizontal="center" vertical="center"/>
    </xf>
    <xf numFmtId="169" fontId="48" fillId="3" borderId="4" xfId="1" applyNumberFormat="1" applyFont="1" applyFill="1" applyBorder="1" applyAlignment="1">
      <alignment horizontal="center"/>
    </xf>
    <xf numFmtId="169" fontId="48" fillId="3" borderId="6" xfId="1" applyNumberFormat="1" applyFont="1" applyFill="1" applyBorder="1" applyAlignment="1">
      <alignment horizontal="center"/>
    </xf>
    <xf numFmtId="169" fontId="3" fillId="0" borderId="0" xfId="0" applyNumberFormat="1" applyFont="1"/>
    <xf numFmtId="169" fontId="42" fillId="10" borderId="6" xfId="2" applyNumberFormat="1" applyFont="1" applyFill="1" applyBorder="1" applyAlignment="1">
      <alignment horizontal="center" wrapText="1"/>
    </xf>
    <xf numFmtId="169" fontId="0" fillId="0" borderId="0" xfId="0" applyNumberFormat="1"/>
    <xf numFmtId="169" fontId="42" fillId="10" borderId="10" xfId="1" applyNumberFormat="1" applyFont="1" applyFill="1" applyBorder="1" applyAlignment="1">
      <alignment horizontal="center" wrapText="1"/>
    </xf>
    <xf numFmtId="169" fontId="45" fillId="3" borderId="1" xfId="1" applyNumberFormat="1" applyFont="1" applyFill="1" applyBorder="1" applyAlignment="1">
      <alignment horizontal="center" vertical="center"/>
    </xf>
    <xf numFmtId="169" fontId="48" fillId="3" borderId="10" xfId="1" applyNumberFormat="1" applyFont="1" applyFill="1" applyBorder="1" applyAlignment="1">
      <alignment horizontal="center"/>
    </xf>
    <xf numFmtId="169" fontId="48" fillId="3" borderId="11" xfId="1" applyNumberFormat="1" applyFont="1" applyFill="1" applyBorder="1" applyAlignment="1">
      <alignment horizontal="center"/>
    </xf>
    <xf numFmtId="0" fontId="42" fillId="10" borderId="13" xfId="2" applyFont="1" applyFill="1" applyBorder="1" applyAlignment="1">
      <alignment horizontal="center"/>
    </xf>
    <xf numFmtId="0" fontId="42" fillId="10" borderId="14" xfId="2" applyFont="1" applyFill="1" applyBorder="1" applyAlignment="1">
      <alignment horizontal="center"/>
    </xf>
    <xf numFmtId="0" fontId="42" fillId="10" borderId="14" xfId="2" applyFont="1" applyFill="1" applyBorder="1" applyAlignment="1">
      <alignment horizontal="center"/>
    </xf>
    <xf numFmtId="0" fontId="39" fillId="9" borderId="0" xfId="0" applyFont="1" applyFill="1" applyAlignment="1">
      <alignment horizontal="center" vertical="center"/>
    </xf>
    <xf numFmtId="169" fontId="45" fillId="3" borderId="10" xfId="1" applyNumberFormat="1" applyFont="1" applyFill="1" applyBorder="1" applyAlignment="1">
      <alignment horizontal="center" vertical="center"/>
    </xf>
    <xf numFmtId="167" fontId="45" fillId="3" borderId="3" xfId="4" applyNumberFormat="1" applyFont="1" applyFill="1" applyBorder="1" applyAlignment="1">
      <alignment horizontal="center" vertical="center"/>
    </xf>
    <xf numFmtId="169" fontId="45" fillId="3" borderId="2" xfId="1" applyNumberFormat="1" applyFont="1" applyFill="1" applyBorder="1" applyAlignment="1">
      <alignment horizontal="center" vertical="center"/>
    </xf>
    <xf numFmtId="169" fontId="45" fillId="3" borderId="4" xfId="1" applyNumberFormat="1" applyFont="1" applyFill="1" applyBorder="1" applyAlignment="1">
      <alignment horizontal="center" vertical="center"/>
    </xf>
    <xf numFmtId="0" fontId="48" fillId="0" borderId="2" xfId="0" applyFont="1" applyFill="1" applyBorder="1"/>
    <xf numFmtId="0" fontId="48" fillId="0" borderId="3" xfId="0" applyFont="1" applyFill="1" applyBorder="1"/>
    <xf numFmtId="0" fontId="48" fillId="0" borderId="5" xfId="0" applyFont="1" applyFill="1" applyBorder="1"/>
    <xf numFmtId="0" fontId="48" fillId="0" borderId="0" xfId="0" applyFont="1" applyFill="1" applyBorder="1"/>
    <xf numFmtId="0" fontId="48" fillId="0" borderId="7" xfId="0" applyFont="1" applyFill="1" applyBorder="1"/>
    <xf numFmtId="0" fontId="48" fillId="0" borderId="8" xfId="0" applyFont="1" applyFill="1" applyBorder="1"/>
    <xf numFmtId="0" fontId="47" fillId="3" borderId="7" xfId="3" applyFont="1" applyFill="1" applyBorder="1" applyAlignment="1">
      <alignment horizontal="center" wrapText="1"/>
    </xf>
    <xf numFmtId="0" fontId="48" fillId="3" borderId="8" xfId="0" applyFont="1" applyFill="1" applyBorder="1"/>
    <xf numFmtId="0" fontId="49" fillId="3" borderId="7" xfId="5" applyFont="1" applyFill="1" applyBorder="1" applyAlignment="1" applyProtection="1">
      <alignment horizontal="center" vertical="center" wrapText="1"/>
    </xf>
    <xf numFmtId="1" fontId="46" fillId="3" borderId="9" xfId="1" applyNumberFormat="1" applyFont="1" applyFill="1" applyBorder="1" applyAlignment="1">
      <alignment horizontal="center" vertical="center"/>
    </xf>
    <xf numFmtId="169" fontId="48" fillId="3" borderId="12" xfId="1" applyNumberFormat="1" applyFont="1" applyFill="1" applyBorder="1" applyAlignment="1">
      <alignment horizontal="center"/>
    </xf>
    <xf numFmtId="167" fontId="48" fillId="3" borderId="8" xfId="4" applyNumberFormat="1" applyFont="1" applyFill="1" applyBorder="1" applyAlignment="1">
      <alignment horizontal="center"/>
    </xf>
    <xf numFmtId="169" fontId="48" fillId="3" borderId="7" xfId="1" applyNumberFormat="1" applyFont="1" applyFill="1" applyBorder="1" applyAlignment="1">
      <alignment horizontal="center"/>
    </xf>
    <xf numFmtId="169" fontId="48" fillId="3" borderId="9" xfId="1" applyNumberFormat="1" applyFont="1" applyFill="1" applyBorder="1" applyAlignment="1">
      <alignment horizontal="center"/>
    </xf>
    <xf numFmtId="0" fontId="35" fillId="9" borderId="2" xfId="0" applyFont="1" applyFill="1" applyBorder="1" applyAlignment="1"/>
    <xf numFmtId="0" fontId="35" fillId="9" borderId="3" xfId="0" applyFont="1" applyFill="1" applyBorder="1" applyAlignment="1"/>
    <xf numFmtId="0" fontId="43" fillId="0" borderId="5" xfId="0" applyFont="1" applyBorder="1"/>
    <xf numFmtId="0" fontId="43" fillId="0" borderId="0" xfId="0" applyFont="1" applyBorder="1"/>
    <xf numFmtId="0" fontId="43" fillId="0" borderId="5" xfId="0" applyFont="1" applyFill="1" applyBorder="1" applyAlignment="1">
      <alignment wrapText="1"/>
    </xf>
    <xf numFmtId="0" fontId="43" fillId="0" borderId="0" xfId="0" applyFont="1" applyFill="1" applyBorder="1" applyAlignment="1">
      <alignment wrapText="1"/>
    </xf>
    <xf numFmtId="0" fontId="45" fillId="0" borderId="5" xfId="0" applyFont="1" applyFill="1" applyBorder="1" applyAlignment="1">
      <alignment horizontal="center" vertical="center"/>
    </xf>
    <xf numFmtId="0" fontId="45" fillId="0" borderId="0" xfId="0" applyFont="1" applyFill="1" applyBorder="1" applyAlignment="1">
      <alignment horizontal="center" vertical="center"/>
    </xf>
    <xf numFmtId="169" fontId="43" fillId="3" borderId="11" xfId="1" applyNumberFormat="1" applyFont="1" applyFill="1" applyBorder="1" applyAlignment="1">
      <alignment horizontal="center"/>
    </xf>
    <xf numFmtId="169" fontId="43" fillId="3" borderId="5" xfId="1" applyNumberFormat="1" applyFont="1" applyFill="1" applyBorder="1" applyAlignment="1">
      <alignment horizontal="center"/>
    </xf>
    <xf numFmtId="169" fontId="43" fillId="3" borderId="6" xfId="1" applyNumberFormat="1" applyFont="1" applyFill="1" applyBorder="1" applyAlignment="1">
      <alignment horizontal="center"/>
    </xf>
    <xf numFmtId="167" fontId="57" fillId="3" borderId="0" xfId="4" applyNumberFormat="1" applyFont="1" applyFill="1" applyBorder="1" applyAlignment="1">
      <alignment horizontal="center"/>
    </xf>
    <xf numFmtId="165" fontId="43" fillId="3" borderId="0" xfId="4" applyFont="1" applyFill="1" applyBorder="1" applyAlignment="1">
      <alignment horizontal="center"/>
    </xf>
    <xf numFmtId="1" fontId="6" fillId="3" borderId="15" xfId="1" applyNumberFormat="1" applyFont="1" applyFill="1" applyBorder="1" applyAlignment="1">
      <alignment horizontal="center" vertical="center"/>
    </xf>
    <xf numFmtId="169" fontId="37" fillId="3" borderId="13" xfId="1" applyNumberFormat="1" applyFont="1" applyFill="1" applyBorder="1" applyAlignment="1">
      <alignment horizontal="center" vertical="center"/>
    </xf>
    <xf numFmtId="169" fontId="37" fillId="3" borderId="15" xfId="1" applyNumberFormat="1" applyFont="1" applyFill="1" applyBorder="1" applyAlignment="1">
      <alignment horizontal="center" vertical="center"/>
    </xf>
    <xf numFmtId="9" fontId="0" fillId="0" borderId="0" xfId="0" applyNumberFormat="1"/>
    <xf numFmtId="10" fontId="58" fillId="9" borderId="0" xfId="0" applyNumberFormat="1" applyFont="1" applyFill="1" applyAlignment="1">
      <alignment horizontal="center" vertical="center"/>
    </xf>
    <xf numFmtId="1" fontId="6" fillId="3" borderId="3" xfId="1" applyNumberFormat="1" applyFont="1" applyFill="1" applyBorder="1" applyAlignment="1">
      <alignment horizontal="center" vertical="center"/>
    </xf>
    <xf numFmtId="10" fontId="48" fillId="0" borderId="0" xfId="1" applyNumberFormat="1" applyFont="1" applyAlignment="1">
      <alignment horizontal="center"/>
    </xf>
    <xf numFmtId="10" fontId="0" fillId="0" borderId="0" xfId="1" applyNumberFormat="1" applyFont="1" applyAlignment="1">
      <alignment horizontal="center"/>
    </xf>
    <xf numFmtId="167" fontId="48" fillId="0" borderId="0" xfId="4" applyNumberFormat="1" applyFont="1" applyAlignment="1">
      <alignment horizontal="center"/>
    </xf>
    <xf numFmtId="167" fontId="0" fillId="0" borderId="0" xfId="4" applyNumberFormat="1" applyFont="1" applyAlignment="1">
      <alignment horizontal="center"/>
    </xf>
    <xf numFmtId="3" fontId="41" fillId="3" borderId="5" xfId="3" applyNumberFormat="1" applyFont="1" applyFill="1" applyBorder="1" applyAlignment="1">
      <alignment horizontal="center" wrapText="1"/>
    </xf>
    <xf numFmtId="3" fontId="41" fillId="3" borderId="7" xfId="3" applyNumberFormat="1" applyFont="1" applyFill="1" applyBorder="1" applyAlignment="1">
      <alignment horizontal="center" wrapText="1"/>
    </xf>
    <xf numFmtId="9" fontId="59" fillId="3" borderId="5" xfId="1" applyFont="1" applyFill="1" applyBorder="1" applyAlignment="1" applyProtection="1">
      <alignment horizontal="center" vertical="center" wrapText="1"/>
    </xf>
    <xf numFmtId="0" fontId="42" fillId="10" borderId="5" xfId="2" applyFont="1" applyFill="1" applyBorder="1" applyAlignment="1">
      <alignment horizontal="center" vertical="center" wrapText="1"/>
    </xf>
    <xf numFmtId="0" fontId="35" fillId="9" borderId="3" xfId="0" applyFont="1" applyFill="1" applyBorder="1" applyAlignment="1">
      <alignment horizontal="center"/>
    </xf>
    <xf numFmtId="0" fontId="37" fillId="3" borderId="13" xfId="0" applyFont="1" applyFill="1" applyBorder="1" applyAlignment="1">
      <alignment horizontal="center" vertical="center"/>
    </xf>
    <xf numFmtId="167" fontId="61" fillId="0" borderId="0" xfId="4" applyNumberFormat="1" applyFont="1" applyFill="1" applyBorder="1" applyAlignment="1">
      <alignment horizontal="center" vertical="center"/>
    </xf>
    <xf numFmtId="168" fontId="62" fillId="0" borderId="0" xfId="7" applyNumberFormat="1" applyFont="1" applyFill="1" applyBorder="1" applyAlignment="1" applyProtection="1">
      <alignment horizontal="center" vertical="center"/>
    </xf>
    <xf numFmtId="0" fontId="2" fillId="12" borderId="51" xfId="9" applyFont="1" applyBorder="1" applyAlignment="1" applyProtection="1">
      <alignment horizontal="center" vertical="center"/>
      <protection locked="0"/>
    </xf>
    <xf numFmtId="0" fontId="39" fillId="9" borderId="0" xfId="0" applyFont="1" applyFill="1" applyAlignment="1">
      <alignment horizontal="center" vertical="center"/>
    </xf>
    <xf numFmtId="0" fontId="35" fillId="9" borderId="3" xfId="0" applyFont="1" applyFill="1" applyBorder="1" applyAlignment="1">
      <alignment horizontal="center"/>
    </xf>
    <xf numFmtId="167" fontId="43" fillId="3" borderId="5" xfId="4" applyNumberFormat="1" applyFont="1" applyFill="1" applyBorder="1" applyAlignment="1">
      <alignment horizontal="right"/>
    </xf>
    <xf numFmtId="3" fontId="67" fillId="3" borderId="0" xfId="0" applyNumberFormat="1" applyFont="1" applyFill="1" applyBorder="1" applyAlignment="1">
      <alignment horizontal="right"/>
    </xf>
    <xf numFmtId="167" fontId="67" fillId="3" borderId="6" xfId="4" applyNumberFormat="1" applyFont="1" applyFill="1" applyBorder="1" applyAlignment="1">
      <alignment horizontal="right"/>
    </xf>
    <xf numFmtId="169" fontId="66" fillId="3" borderId="15" xfId="1" applyNumberFormat="1" applyFont="1" applyFill="1" applyBorder="1" applyAlignment="1">
      <alignment horizontal="center" vertical="center"/>
    </xf>
    <xf numFmtId="169" fontId="67" fillId="3" borderId="6" xfId="1" applyNumberFormat="1" applyFont="1" applyFill="1" applyBorder="1" applyAlignment="1">
      <alignment horizontal="center"/>
    </xf>
    <xf numFmtId="3" fontId="66" fillId="3" borderId="14" xfId="0" applyNumberFormat="1" applyFont="1" applyFill="1" applyBorder="1" applyAlignment="1">
      <alignment horizontal="right" vertical="center"/>
    </xf>
    <xf numFmtId="167" fontId="66" fillId="3" borderId="15" xfId="4" applyNumberFormat="1" applyFont="1" applyFill="1" applyBorder="1" applyAlignment="1">
      <alignment horizontal="right" vertical="center"/>
    </xf>
    <xf numFmtId="169" fontId="68" fillId="3" borderId="4" xfId="1" applyNumberFormat="1" applyFont="1" applyFill="1" applyBorder="1" applyAlignment="1">
      <alignment horizontal="center" vertical="center"/>
    </xf>
    <xf numFmtId="169" fontId="69" fillId="3" borderId="6" xfId="1" applyNumberFormat="1" applyFont="1" applyFill="1" applyBorder="1" applyAlignment="1">
      <alignment horizontal="center"/>
    </xf>
    <xf numFmtId="169" fontId="69" fillId="3" borderId="9" xfId="1" applyNumberFormat="1" applyFont="1" applyFill="1" applyBorder="1" applyAlignment="1">
      <alignment horizontal="center"/>
    </xf>
    <xf numFmtId="3" fontId="69" fillId="3" borderId="0" xfId="0" applyNumberFormat="1" applyFont="1" applyFill="1" applyBorder="1" applyAlignment="1">
      <alignment horizontal="right"/>
    </xf>
    <xf numFmtId="3" fontId="69" fillId="3" borderId="8" xfId="0" applyNumberFormat="1" applyFont="1" applyFill="1" applyBorder="1" applyAlignment="1">
      <alignment horizontal="right"/>
    </xf>
    <xf numFmtId="167" fontId="48" fillId="3" borderId="5" xfId="4" applyNumberFormat="1" applyFont="1" applyFill="1" applyBorder="1" applyAlignment="1">
      <alignment horizontal="right"/>
    </xf>
    <xf numFmtId="167" fontId="48" fillId="3" borderId="7" xfId="4" applyNumberFormat="1" applyFont="1" applyFill="1" applyBorder="1" applyAlignment="1">
      <alignment horizontal="right"/>
    </xf>
    <xf numFmtId="169" fontId="0" fillId="0" borderId="0" xfId="1" applyNumberFormat="1" applyFont="1" applyAlignment="1">
      <alignment horizontal="center"/>
    </xf>
    <xf numFmtId="9" fontId="2" fillId="3" borderId="1" xfId="0" applyNumberFormat="1" applyFont="1" applyFill="1" applyBorder="1" applyAlignment="1">
      <alignment horizontal="center" vertical="center"/>
    </xf>
    <xf numFmtId="0" fontId="3" fillId="2" borderId="0" xfId="2"/>
    <xf numFmtId="0" fontId="48" fillId="0" borderId="0" xfId="0" applyFont="1" applyBorder="1"/>
    <xf numFmtId="167" fontId="48" fillId="0" borderId="0" xfId="4" applyNumberFormat="1" applyFont="1" applyBorder="1"/>
    <xf numFmtId="10" fontId="48" fillId="0" borderId="0" xfId="1" applyNumberFormat="1" applyFont="1" applyBorder="1"/>
    <xf numFmtId="167" fontId="75" fillId="14" borderId="0" xfId="4" applyNumberFormat="1" applyFont="1" applyFill="1" applyBorder="1"/>
    <xf numFmtId="167" fontId="76" fillId="0" borderId="0" xfId="4" applyNumberFormat="1" applyFont="1" applyBorder="1"/>
    <xf numFmtId="167" fontId="48" fillId="15" borderId="0" xfId="4" applyNumberFormat="1" applyFont="1" applyFill="1" applyBorder="1"/>
    <xf numFmtId="167" fontId="48" fillId="16" borderId="0" xfId="4" applyNumberFormat="1" applyFont="1" applyFill="1" applyBorder="1"/>
    <xf numFmtId="167" fontId="48" fillId="17" borderId="0" xfId="4" applyNumberFormat="1" applyFont="1" applyFill="1" applyBorder="1"/>
    <xf numFmtId="169" fontId="52" fillId="0" borderId="0" xfId="1" applyNumberFormat="1" applyFont="1" applyBorder="1"/>
    <xf numFmtId="169" fontId="52" fillId="17" borderId="0" xfId="1" applyNumberFormat="1" applyFont="1" applyFill="1" applyBorder="1"/>
    <xf numFmtId="169" fontId="52" fillId="0" borderId="0" xfId="1" applyNumberFormat="1" applyFont="1"/>
    <xf numFmtId="167" fontId="48" fillId="0" borderId="48" xfId="4" applyNumberFormat="1" applyFont="1" applyBorder="1"/>
    <xf numFmtId="167" fontId="71" fillId="0" borderId="0" xfId="4" applyNumberFormat="1" applyFont="1" applyBorder="1"/>
    <xf numFmtId="167" fontId="75" fillId="14" borderId="48" xfId="4" applyNumberFormat="1" applyFont="1" applyFill="1" applyBorder="1"/>
    <xf numFmtId="167" fontId="71" fillId="0" borderId="48" xfId="4" applyNumberFormat="1" applyFont="1" applyBorder="1"/>
    <xf numFmtId="167" fontId="48" fillId="16" borderId="48" xfId="4" applyNumberFormat="1" applyFont="1" applyFill="1" applyBorder="1"/>
    <xf numFmtId="167" fontId="48" fillId="17" borderId="48" xfId="4" applyNumberFormat="1" applyFont="1" applyFill="1" applyBorder="1"/>
    <xf numFmtId="169" fontId="77" fillId="14" borderId="0" xfId="1" applyNumberFormat="1" applyFont="1" applyFill="1" applyBorder="1"/>
    <xf numFmtId="169" fontId="78" fillId="0" borderId="0" xfId="1" applyNumberFormat="1" applyFont="1" applyBorder="1"/>
    <xf numFmtId="169" fontId="52" fillId="15" borderId="0" xfId="1" applyNumberFormat="1" applyFont="1" applyFill="1" applyBorder="1"/>
    <xf numFmtId="169" fontId="70" fillId="0" borderId="0" xfId="1" applyNumberFormat="1" applyFont="1" applyBorder="1"/>
    <xf numFmtId="169" fontId="52" fillId="16" borderId="0" xfId="1" applyNumberFormat="1" applyFont="1" applyFill="1" applyBorder="1"/>
    <xf numFmtId="167" fontId="52" fillId="0" borderId="0" xfId="4" applyNumberFormat="1" applyFont="1" applyBorder="1"/>
    <xf numFmtId="169" fontId="52" fillId="0" borderId="49" xfId="1" applyNumberFormat="1" applyFont="1" applyBorder="1"/>
    <xf numFmtId="167" fontId="48" fillId="0" borderId="49" xfId="4" applyNumberFormat="1" applyFont="1" applyBorder="1"/>
    <xf numFmtId="167" fontId="75" fillId="14" borderId="49" xfId="4" applyNumberFormat="1" applyFont="1" applyFill="1" applyBorder="1"/>
    <xf numFmtId="167" fontId="48" fillId="17" borderId="49" xfId="4" applyNumberFormat="1" applyFont="1" applyFill="1" applyBorder="1"/>
    <xf numFmtId="167" fontId="71" fillId="0" borderId="49" xfId="4" applyNumberFormat="1" applyFont="1" applyBorder="1"/>
    <xf numFmtId="167" fontId="48" fillId="15" borderId="48" xfId="4" applyNumberFormat="1" applyFont="1" applyFill="1" applyBorder="1"/>
    <xf numFmtId="167" fontId="48" fillId="15" borderId="49" xfId="4" applyNumberFormat="1" applyFont="1" applyFill="1" applyBorder="1"/>
    <xf numFmtId="167" fontId="76" fillId="0" borderId="48" xfId="4" applyNumberFormat="1" applyFont="1" applyBorder="1"/>
    <xf numFmtId="167" fontId="76" fillId="0" borderId="49" xfId="4" applyNumberFormat="1" applyFont="1" applyBorder="1"/>
    <xf numFmtId="167" fontId="48" fillId="16" borderId="49" xfId="4" applyNumberFormat="1" applyFont="1" applyFill="1" applyBorder="1"/>
    <xf numFmtId="0" fontId="79" fillId="13" borderId="27" xfId="10" applyFont="1" applyBorder="1" applyAlignment="1">
      <alignment horizontal="center" vertical="center" wrapText="1"/>
    </xf>
    <xf numFmtId="167" fontId="79" fillId="13" borderId="35" xfId="10" applyNumberFormat="1" applyFont="1" applyBorder="1" applyAlignment="1">
      <alignment horizontal="center" vertical="center" wrapText="1"/>
    </xf>
    <xf numFmtId="0" fontId="45" fillId="18" borderId="27" xfId="10" applyFont="1" applyFill="1" applyBorder="1" applyAlignment="1">
      <alignment horizontal="center" vertical="center" wrapText="1"/>
    </xf>
    <xf numFmtId="0" fontId="45" fillId="18" borderId="0" xfId="10" applyFont="1" applyFill="1" applyBorder="1" applyAlignment="1">
      <alignment horizontal="center" vertical="center" wrapText="1"/>
    </xf>
    <xf numFmtId="0" fontId="45" fillId="0" borderId="0" xfId="0" applyFont="1" applyAlignment="1">
      <alignment wrapText="1"/>
    </xf>
    <xf numFmtId="0" fontId="45" fillId="18" borderId="47" xfId="10" applyFont="1" applyFill="1" applyBorder="1" applyAlignment="1">
      <alignment horizontal="center" vertical="center" wrapText="1"/>
    </xf>
    <xf numFmtId="167" fontId="79" fillId="13" borderId="53" xfId="10" applyNumberFormat="1" applyFont="1" applyBorder="1" applyAlignment="1">
      <alignment horizontal="center" vertical="center" wrapText="1"/>
    </xf>
    <xf numFmtId="0" fontId="45" fillId="18" borderId="53" xfId="10" applyFont="1" applyFill="1" applyBorder="1" applyAlignment="1">
      <alignment horizontal="center" vertical="center" wrapText="1"/>
    </xf>
    <xf numFmtId="167" fontId="48" fillId="0" borderId="54" xfId="4" applyNumberFormat="1" applyFont="1" applyBorder="1" applyProtection="1">
      <protection locked="0"/>
    </xf>
    <xf numFmtId="167" fontId="43" fillId="0" borderId="54" xfId="4" applyNumberFormat="1" applyFont="1" applyBorder="1" applyProtection="1">
      <protection locked="0"/>
    </xf>
    <xf numFmtId="167" fontId="75" fillId="14" borderId="54" xfId="4" applyNumberFormat="1" applyFont="1" applyFill="1" applyBorder="1" applyProtection="1">
      <protection locked="0"/>
    </xf>
    <xf numFmtId="167" fontId="48" fillId="17" borderId="54" xfId="4" applyNumberFormat="1" applyFont="1" applyFill="1" applyBorder="1" applyProtection="1">
      <protection locked="0"/>
    </xf>
    <xf numFmtId="167" fontId="76" fillId="0" borderId="54" xfId="4" applyNumberFormat="1" applyFont="1" applyBorder="1" applyProtection="1">
      <protection locked="0"/>
    </xf>
    <xf numFmtId="167" fontId="48" fillId="15" borderId="54" xfId="4" applyNumberFormat="1" applyFont="1" applyFill="1" applyBorder="1" applyProtection="1">
      <protection locked="0"/>
    </xf>
    <xf numFmtId="167" fontId="48" fillId="16" borderId="54" xfId="4" applyNumberFormat="1" applyFont="1" applyFill="1" applyBorder="1" applyProtection="1">
      <protection locked="0"/>
    </xf>
    <xf numFmtId="167" fontId="2" fillId="0" borderId="52" xfId="4" applyNumberFormat="1" applyFont="1" applyBorder="1" applyProtection="1">
      <protection locked="0"/>
    </xf>
    <xf numFmtId="167" fontId="2" fillId="0" borderId="55" xfId="4" applyNumberFormat="1" applyFont="1" applyBorder="1" applyProtection="1">
      <protection locked="0"/>
    </xf>
    <xf numFmtId="167" fontId="77" fillId="14" borderId="0" xfId="4" applyNumberFormat="1" applyFont="1" applyFill="1" applyBorder="1"/>
    <xf numFmtId="167" fontId="52" fillId="17" borderId="0" xfId="4" applyNumberFormat="1" applyFont="1" applyFill="1" applyBorder="1"/>
    <xf numFmtId="167" fontId="78" fillId="0" borderId="0" xfId="4" applyNumberFormat="1" applyFont="1" applyBorder="1"/>
    <xf numFmtId="167" fontId="52" fillId="15" borderId="0" xfId="4" applyNumberFormat="1" applyFont="1" applyFill="1" applyBorder="1"/>
    <xf numFmtId="167" fontId="70" fillId="0" borderId="0" xfId="4" applyNumberFormat="1" applyFont="1" applyBorder="1"/>
    <xf numFmtId="167" fontId="52" fillId="16" borderId="0" xfId="4" applyNumberFormat="1" applyFont="1" applyFill="1" applyBorder="1"/>
    <xf numFmtId="167" fontId="65" fillId="13" borderId="35" xfId="10" applyNumberFormat="1" applyFont="1" applyBorder="1" applyAlignment="1">
      <alignment horizontal="center" vertical="center" wrapText="1"/>
    </xf>
    <xf numFmtId="167" fontId="37" fillId="0" borderId="0" xfId="0" applyNumberFormat="1" applyFont="1" applyFill="1" applyBorder="1"/>
    <xf numFmtId="167" fontId="81" fillId="0" borderId="0" xfId="4" applyNumberFormat="1" applyFont="1" applyBorder="1"/>
    <xf numFmtId="0" fontId="37" fillId="0" borderId="0" xfId="0" applyFont="1" applyFill="1"/>
    <xf numFmtId="0" fontId="81" fillId="0" borderId="0" xfId="0" applyFont="1" applyBorder="1"/>
    <xf numFmtId="167" fontId="81" fillId="0" borderId="46" xfId="4" applyNumberFormat="1" applyFont="1" applyBorder="1"/>
    <xf numFmtId="169" fontId="81" fillId="0" borderId="0" xfId="1" applyNumberFormat="1" applyFont="1" applyBorder="1"/>
    <xf numFmtId="0" fontId="81" fillId="0" borderId="0" xfId="0" applyFont="1"/>
    <xf numFmtId="167" fontId="81" fillId="0" borderId="0" xfId="0" applyNumberFormat="1" applyFont="1"/>
    <xf numFmtId="0" fontId="39" fillId="9" borderId="0" xfId="0" applyFont="1" applyFill="1" applyAlignment="1">
      <alignment horizontal="center" vertical="center"/>
    </xf>
    <xf numFmtId="0" fontId="42" fillId="10" borderId="15" xfId="2" applyFont="1" applyFill="1" applyBorder="1" applyAlignment="1">
      <alignment horizontal="center"/>
    </xf>
    <xf numFmtId="0" fontId="35" fillId="9" borderId="3" xfId="0" applyFont="1" applyFill="1" applyBorder="1" applyAlignment="1">
      <alignment horizontal="center"/>
    </xf>
    <xf numFmtId="0" fontId="42" fillId="10" borderId="1" xfId="2" applyFont="1" applyFill="1" applyBorder="1" applyAlignment="1">
      <alignment horizontal="center"/>
    </xf>
    <xf numFmtId="0" fontId="48" fillId="21" borderId="57" xfId="0" applyFont="1" applyFill="1" applyBorder="1"/>
    <xf numFmtId="14" fontId="48" fillId="21" borderId="57" xfId="0" applyNumberFormat="1" applyFont="1" applyFill="1" applyBorder="1"/>
    <xf numFmtId="0" fontId="87" fillId="0" borderId="0" xfId="0" applyFont="1"/>
    <xf numFmtId="14" fontId="48" fillId="0" borderId="0" xfId="0" applyNumberFormat="1" applyFont="1"/>
    <xf numFmtId="0" fontId="88" fillId="0" borderId="0" xfId="0" applyFont="1"/>
    <xf numFmtId="0" fontId="48" fillId="0" borderId="0" xfId="0" applyNumberFormat="1" applyFont="1"/>
    <xf numFmtId="2" fontId="48" fillId="0" borderId="0" xfId="0" applyNumberFormat="1" applyFont="1"/>
    <xf numFmtId="171" fontId="89" fillId="6" borderId="47" xfId="0" applyNumberFormat="1" applyFont="1" applyFill="1" applyBorder="1"/>
    <xf numFmtId="171" fontId="89" fillId="6" borderId="0" xfId="0" applyNumberFormat="1" applyFont="1" applyFill="1" applyBorder="1"/>
    <xf numFmtId="171" fontId="89" fillId="6" borderId="35" xfId="0" applyNumberFormat="1" applyFont="1" applyFill="1" applyBorder="1"/>
    <xf numFmtId="0" fontId="84" fillId="6" borderId="50" xfId="0" applyFont="1" applyFill="1" applyBorder="1" applyAlignment="1">
      <alignment horizontal="center"/>
    </xf>
    <xf numFmtId="0" fontId="89" fillId="6" borderId="5" xfId="0" applyFont="1" applyFill="1" applyBorder="1"/>
    <xf numFmtId="0" fontId="3" fillId="0" borderId="0" xfId="0" applyFont="1" applyBorder="1"/>
    <xf numFmtId="0" fontId="89" fillId="6" borderId="0" xfId="0" applyFont="1" applyFill="1" applyBorder="1"/>
    <xf numFmtId="0" fontId="89" fillId="6" borderId="6" xfId="0" applyFont="1" applyFill="1" applyBorder="1"/>
    <xf numFmtId="0" fontId="89" fillId="6" borderId="7" xfId="0" applyFont="1" applyFill="1" applyBorder="1"/>
    <xf numFmtId="171" fontId="89" fillId="6" borderId="60" xfId="0" applyNumberFormat="1" applyFont="1" applyFill="1" applyBorder="1"/>
    <xf numFmtId="0" fontId="89" fillId="6" borderId="8" xfId="0" applyFont="1" applyFill="1" applyBorder="1"/>
    <xf numFmtId="0" fontId="89" fillId="6" borderId="9" xfId="0" applyFont="1" applyFill="1" applyBorder="1"/>
    <xf numFmtId="0" fontId="89" fillId="0" borderId="0" xfId="0" applyFont="1"/>
    <xf numFmtId="14" fontId="89" fillId="0" borderId="0" xfId="0" applyNumberFormat="1" applyFont="1"/>
    <xf numFmtId="3" fontId="0" fillId="9" borderId="0" xfId="0" applyNumberFormat="1" applyFill="1"/>
    <xf numFmtId="3" fontId="20" fillId="5" borderId="5" xfId="0" applyNumberFormat="1" applyFont="1" applyFill="1" applyBorder="1" applyAlignment="1" applyProtection="1">
      <alignment horizontal="center"/>
    </xf>
    <xf numFmtId="3" fontId="13" fillId="6" borderId="2" xfId="1" applyNumberFormat="1" applyFont="1" applyFill="1" applyBorder="1" applyAlignment="1" applyProtection="1"/>
    <xf numFmtId="3" fontId="13" fillId="6" borderId="7" xfId="1" applyNumberFormat="1" applyFont="1" applyFill="1" applyBorder="1" applyAlignment="1" applyProtection="1"/>
    <xf numFmtId="3" fontId="13" fillId="3" borderId="5" xfId="1" applyNumberFormat="1" applyFont="1" applyFill="1" applyBorder="1" applyAlignment="1" applyProtection="1">
      <alignment horizontal="center"/>
    </xf>
    <xf numFmtId="3" fontId="13" fillId="3" borderId="7" xfId="1" applyNumberFormat="1" applyFont="1" applyFill="1" applyBorder="1" applyAlignment="1" applyProtection="1">
      <alignment horizontal="center"/>
    </xf>
    <xf numFmtId="3" fontId="0" fillId="0" borderId="0" xfId="0" applyNumberFormat="1"/>
    <xf numFmtId="0" fontId="90" fillId="0" borderId="0" xfId="0" applyFont="1"/>
    <xf numFmtId="0" fontId="3" fillId="22" borderId="5" xfId="0" applyFont="1" applyFill="1" applyBorder="1" applyAlignment="1"/>
    <xf numFmtId="0" fontId="3" fillId="22" borderId="0" xfId="0" applyFont="1" applyFill="1" applyBorder="1" applyAlignment="1"/>
    <xf numFmtId="0" fontId="3" fillId="22" borderId="6" xfId="0" applyFont="1" applyFill="1" applyBorder="1" applyAlignment="1"/>
    <xf numFmtId="0" fontId="3" fillId="22" borderId="58" xfId="0" applyFont="1" applyFill="1" applyBorder="1" applyAlignment="1"/>
    <xf numFmtId="0" fontId="3" fillId="22" borderId="56" xfId="0" applyFont="1" applyFill="1" applyBorder="1" applyAlignment="1"/>
    <xf numFmtId="0" fontId="3" fillId="22" borderId="59" xfId="0" applyFont="1" applyFill="1" applyBorder="1" applyAlignment="1"/>
    <xf numFmtId="22" fontId="3" fillId="0" borderId="0" xfId="0" applyNumberFormat="1" applyFont="1"/>
    <xf numFmtId="0" fontId="20" fillId="5" borderId="0" xfId="0" applyFont="1" applyFill="1" applyBorder="1" applyAlignment="1" applyProtection="1">
      <alignment horizontal="center"/>
    </xf>
    <xf numFmtId="168" fontId="13" fillId="6" borderId="3" xfId="0" applyNumberFormat="1" applyFont="1" applyFill="1" applyBorder="1" applyAlignment="1" applyProtection="1"/>
    <xf numFmtId="168" fontId="13" fillId="6" borderId="8" xfId="0" applyNumberFormat="1" applyFont="1" applyFill="1" applyBorder="1" applyAlignment="1" applyProtection="1"/>
    <xf numFmtId="168" fontId="13" fillId="3" borderId="3" xfId="7" applyNumberFormat="1" applyFont="1" applyFill="1" applyBorder="1" applyAlignment="1" applyProtection="1"/>
    <xf numFmtId="1" fontId="0" fillId="9" borderId="0" xfId="0" applyNumberFormat="1" applyFill="1" applyAlignment="1">
      <alignment horizontal="center"/>
    </xf>
    <xf numFmtId="1" fontId="0" fillId="0" borderId="0" xfId="0" applyNumberFormat="1" applyAlignment="1">
      <alignment horizontal="center"/>
    </xf>
    <xf numFmtId="168" fontId="13" fillId="6" borderId="4" xfId="0" applyNumberFormat="1" applyFont="1" applyFill="1" applyBorder="1" applyAlignment="1" applyProtection="1"/>
    <xf numFmtId="168" fontId="13" fillId="6" borderId="9" xfId="0" applyNumberFormat="1" applyFont="1" applyFill="1" applyBorder="1" applyAlignment="1" applyProtection="1"/>
    <xf numFmtId="168" fontId="13" fillId="6" borderId="9" xfId="0" applyNumberFormat="1" applyFont="1" applyFill="1" applyBorder="1" applyAlignment="1" applyProtection="1">
      <alignment horizontal="center" vertical="center"/>
    </xf>
    <xf numFmtId="1" fontId="13" fillId="6" borderId="4" xfId="4" applyNumberFormat="1" applyFont="1" applyFill="1" applyBorder="1" applyAlignment="1" applyProtection="1">
      <alignment horizontal="center"/>
    </xf>
    <xf numFmtId="168" fontId="13" fillId="3" borderId="8" xfId="4" applyNumberFormat="1" applyFont="1" applyFill="1" applyBorder="1" applyAlignment="1" applyProtection="1"/>
    <xf numFmtId="169" fontId="18" fillId="5" borderId="5" xfId="1" applyNumberFormat="1" applyFont="1" applyFill="1" applyBorder="1" applyAlignment="1" applyProtection="1">
      <alignment horizontal="center"/>
    </xf>
    <xf numFmtId="169" fontId="18" fillId="5" borderId="6" xfId="1" applyNumberFormat="1" applyFont="1" applyFill="1" applyBorder="1" applyAlignment="1" applyProtection="1">
      <alignment horizontal="center"/>
    </xf>
    <xf numFmtId="169" fontId="13" fillId="6" borderId="4" xfId="1" applyNumberFormat="1" applyFont="1" applyFill="1" applyBorder="1" applyAlignment="1" applyProtection="1">
      <alignment horizontal="center"/>
    </xf>
    <xf numFmtId="169" fontId="13" fillId="6" borderId="9" xfId="1" applyNumberFormat="1" applyFont="1" applyFill="1" applyBorder="1" applyAlignment="1" applyProtection="1">
      <alignment horizontal="center" vertical="center"/>
    </xf>
    <xf numFmtId="169" fontId="0" fillId="9" borderId="0" xfId="1" applyNumberFormat="1" applyFont="1" applyFill="1" applyAlignment="1">
      <alignment horizontal="center"/>
    </xf>
    <xf numFmtId="0" fontId="13" fillId="3" borderId="5" xfId="0" applyFont="1" applyFill="1" applyBorder="1" applyAlignment="1" applyProtection="1">
      <alignment horizontal="center"/>
    </xf>
    <xf numFmtId="0" fontId="0" fillId="0" borderId="5" xfId="0" applyBorder="1"/>
    <xf numFmtId="0" fontId="0" fillId="0" borderId="0" xfId="0" applyBorder="1"/>
    <xf numFmtId="0" fontId="23" fillId="0" borderId="0" xfId="0" applyFont="1" applyBorder="1"/>
    <xf numFmtId="1" fontId="0" fillId="0" borderId="0" xfId="0" applyNumberFormat="1" applyBorder="1" applyAlignment="1">
      <alignment horizontal="center"/>
    </xf>
    <xf numFmtId="169" fontId="0" fillId="0" borderId="0" xfId="1" applyNumberFormat="1" applyFont="1" applyBorder="1" applyAlignment="1">
      <alignment horizontal="center"/>
    </xf>
    <xf numFmtId="169" fontId="0" fillId="0" borderId="6" xfId="1" applyNumberFormat="1" applyFont="1" applyBorder="1" applyAlignment="1">
      <alignment horizontal="center"/>
    </xf>
    <xf numFmtId="0" fontId="0" fillId="0" borderId="7" xfId="0" applyBorder="1"/>
    <xf numFmtId="0" fontId="0" fillId="0" borderId="8" xfId="0" applyBorder="1"/>
    <xf numFmtId="0" fontId="23" fillId="0" borderId="8" xfId="0" applyFont="1" applyBorder="1"/>
    <xf numFmtId="1" fontId="0" fillId="0" borderId="8" xfId="0" applyNumberFormat="1" applyBorder="1" applyAlignment="1">
      <alignment horizontal="center"/>
    </xf>
    <xf numFmtId="169" fontId="0" fillId="0" borderId="8" xfId="1" applyNumberFormat="1" applyFont="1" applyBorder="1" applyAlignment="1">
      <alignment horizontal="center"/>
    </xf>
    <xf numFmtId="169" fontId="0" fillId="0" borderId="9" xfId="1" applyNumberFormat="1" applyFont="1" applyBorder="1" applyAlignment="1">
      <alignment horizontal="center"/>
    </xf>
    <xf numFmtId="168" fontId="13" fillId="3" borderId="5" xfId="7" applyNumberFormat="1" applyFont="1" applyFill="1" applyBorder="1" applyAlignment="1" applyProtection="1"/>
    <xf numFmtId="1" fontId="13" fillId="3" borderId="2" xfId="4" applyNumberFormat="1" applyFont="1" applyFill="1" applyBorder="1" applyAlignment="1" applyProtection="1">
      <alignment horizontal="center"/>
    </xf>
    <xf numFmtId="169" fontId="13" fillId="3" borderId="2" xfId="1" applyNumberFormat="1" applyFont="1" applyFill="1" applyBorder="1" applyAlignment="1" applyProtection="1">
      <alignment horizontal="center"/>
    </xf>
    <xf numFmtId="1" fontId="13" fillId="3" borderId="5" xfId="4" applyNumberFormat="1" applyFont="1" applyFill="1" applyBorder="1" applyAlignment="1" applyProtection="1">
      <alignment horizontal="center"/>
    </xf>
    <xf numFmtId="169" fontId="13" fillId="3" borderId="5" xfId="1" applyNumberFormat="1" applyFont="1" applyFill="1" applyBorder="1" applyAlignment="1" applyProtection="1">
      <alignment horizontal="center"/>
    </xf>
    <xf numFmtId="168" fontId="13" fillId="3" borderId="7" xfId="7" applyNumberFormat="1" applyFont="1" applyFill="1" applyBorder="1" applyAlignment="1" applyProtection="1"/>
    <xf numFmtId="1" fontId="13" fillId="3" borderId="7" xfId="4" applyNumberFormat="1" applyFont="1" applyFill="1" applyBorder="1" applyAlignment="1" applyProtection="1">
      <alignment horizontal="center"/>
    </xf>
    <xf numFmtId="169" fontId="13" fillId="3" borderId="7" xfId="1" applyNumberFormat="1" applyFont="1" applyFill="1" applyBorder="1" applyAlignment="1" applyProtection="1">
      <alignment horizontal="center"/>
    </xf>
    <xf numFmtId="168" fontId="92" fillId="3" borderId="2" xfId="7" applyNumberFormat="1" applyFont="1" applyFill="1" applyBorder="1" applyAlignment="1" applyProtection="1"/>
    <xf numFmtId="168" fontId="92" fillId="3" borderId="5" xfId="7" applyNumberFormat="1" applyFont="1" applyFill="1" applyBorder="1" applyAlignment="1" applyProtection="1"/>
    <xf numFmtId="168" fontId="92" fillId="3" borderId="7" xfId="7" applyNumberFormat="1" applyFont="1" applyFill="1" applyBorder="1" applyAlignment="1" applyProtection="1"/>
    <xf numFmtId="168" fontId="91" fillId="3" borderId="3" xfId="7" applyNumberFormat="1" applyFont="1" applyFill="1" applyBorder="1" applyAlignment="1" applyProtection="1"/>
    <xf numFmtId="168" fontId="91" fillId="3" borderId="0" xfId="7" applyNumberFormat="1" applyFont="1" applyFill="1" applyBorder="1" applyAlignment="1" applyProtection="1"/>
    <xf numFmtId="168" fontId="91" fillId="3" borderId="8" xfId="7" applyNumberFormat="1" applyFont="1" applyFill="1" applyBorder="1" applyAlignment="1" applyProtection="1"/>
    <xf numFmtId="1" fontId="91" fillId="3" borderId="4" xfId="4" applyNumberFormat="1" applyFont="1" applyFill="1" applyBorder="1" applyAlignment="1" applyProtection="1">
      <alignment horizontal="center"/>
    </xf>
    <xf numFmtId="1" fontId="91" fillId="3" borderId="6" xfId="4" applyNumberFormat="1" applyFont="1" applyFill="1" applyBorder="1" applyAlignment="1" applyProtection="1">
      <alignment horizontal="center"/>
    </xf>
    <xf numFmtId="1" fontId="91" fillId="3" borderId="9" xfId="4" applyNumberFormat="1" applyFont="1" applyFill="1" applyBorder="1" applyAlignment="1" applyProtection="1">
      <alignment horizontal="center"/>
    </xf>
    <xf numFmtId="168" fontId="91" fillId="3" borderId="0" xfId="4" applyNumberFormat="1" applyFont="1" applyFill="1" applyBorder="1" applyAlignment="1" applyProtection="1"/>
    <xf numFmtId="168" fontId="91" fillId="3" borderId="8" xfId="4" applyNumberFormat="1" applyFont="1" applyFill="1" applyBorder="1" applyAlignment="1" applyProtection="1"/>
    <xf numFmtId="169" fontId="91" fillId="3" borderId="4" xfId="1" applyNumberFormat="1" applyFont="1" applyFill="1" applyBorder="1" applyAlignment="1" applyProtection="1">
      <alignment horizontal="center"/>
    </xf>
    <xf numFmtId="169" fontId="91" fillId="3" borderId="6" xfId="1" applyNumberFormat="1" applyFont="1" applyFill="1" applyBorder="1" applyAlignment="1" applyProtection="1">
      <alignment horizontal="center"/>
    </xf>
    <xf numFmtId="169" fontId="91" fillId="3" borderId="9" xfId="1" applyNumberFormat="1" applyFont="1" applyFill="1" applyBorder="1" applyAlignment="1" applyProtection="1">
      <alignment horizontal="center"/>
    </xf>
    <xf numFmtId="0" fontId="93" fillId="23" borderId="61" xfId="11" applyFont="1" applyFill="1" applyBorder="1" applyAlignment="1">
      <alignment horizontal="center"/>
    </xf>
    <xf numFmtId="0" fontId="93" fillId="0" borderId="62" xfId="11" applyFont="1" applyFill="1" applyBorder="1" applyAlignment="1">
      <alignment wrapText="1"/>
    </xf>
    <xf numFmtId="0" fontId="93" fillId="0" borderId="62" xfId="11" applyFont="1" applyFill="1" applyBorder="1" applyAlignment="1">
      <alignment horizontal="right" wrapText="1"/>
    </xf>
    <xf numFmtId="0" fontId="4" fillId="0" borderId="0" xfId="11"/>
    <xf numFmtId="2" fontId="93" fillId="0" borderId="62" xfId="11" applyNumberFormat="1" applyFont="1" applyFill="1" applyBorder="1" applyAlignment="1">
      <alignment horizontal="right" wrapText="1"/>
    </xf>
    <xf numFmtId="10" fontId="81" fillId="0" borderId="0" xfId="1" applyNumberFormat="1" applyFont="1" applyBorder="1"/>
    <xf numFmtId="167" fontId="42" fillId="10" borderId="3" xfId="4" applyNumberFormat="1" applyFont="1" applyFill="1" applyBorder="1" applyAlignment="1">
      <alignment horizontal="center" wrapText="1"/>
    </xf>
    <xf numFmtId="169" fontId="42" fillId="10" borderId="0" xfId="1" applyNumberFormat="1" applyFont="1" applyFill="1" applyBorder="1" applyAlignment="1">
      <alignment horizontal="center" wrapText="1"/>
    </xf>
    <xf numFmtId="169" fontId="42" fillId="10" borderId="13" xfId="1" applyNumberFormat="1" applyFont="1" applyFill="1" applyBorder="1" applyAlignment="1">
      <alignment horizontal="center" wrapText="1"/>
    </xf>
    <xf numFmtId="169" fontId="43" fillId="3" borderId="0" xfId="1" applyNumberFormat="1" applyFont="1" applyFill="1" applyBorder="1" applyAlignment="1">
      <alignment horizontal="center"/>
    </xf>
    <xf numFmtId="169" fontId="48" fillId="3" borderId="0" xfId="1" applyNumberFormat="1" applyFont="1" applyFill="1" applyBorder="1" applyAlignment="1">
      <alignment horizontal="center"/>
    </xf>
    <xf numFmtId="169" fontId="38" fillId="10" borderId="15" xfId="1" applyNumberFormat="1" applyFont="1" applyFill="1" applyBorder="1" applyAlignment="1">
      <alignment horizontal="center" wrapText="1"/>
    </xf>
    <xf numFmtId="169" fontId="48" fillId="3" borderId="8" xfId="1" applyNumberFormat="1" applyFont="1" applyFill="1" applyBorder="1" applyAlignment="1">
      <alignment horizontal="center"/>
    </xf>
    <xf numFmtId="0" fontId="2" fillId="0" borderId="27" xfId="0" applyFont="1" applyBorder="1" applyAlignment="1">
      <alignment horizontal="right" vertical="center"/>
    </xf>
    <xf numFmtId="0" fontId="2" fillId="0" borderId="35" xfId="0" applyFont="1" applyBorder="1" applyAlignment="1">
      <alignment horizontal="right" vertical="center"/>
    </xf>
    <xf numFmtId="0" fontId="2" fillId="0" borderId="35" xfId="0" applyFont="1" applyBorder="1" applyAlignment="1">
      <alignment vertical="center"/>
    </xf>
    <xf numFmtId="0" fontId="2" fillId="0" borderId="0" xfId="0" applyFont="1" applyAlignment="1">
      <alignment vertical="center"/>
    </xf>
    <xf numFmtId="168" fontId="0" fillId="0" borderId="0" xfId="0" applyNumberFormat="1" applyAlignment="1">
      <alignment horizontal="center" vertical="center"/>
    </xf>
    <xf numFmtId="10" fontId="0" fillId="0" borderId="0" xfId="1" applyNumberFormat="1" applyFont="1" applyAlignment="1">
      <alignment horizontal="center" vertical="center"/>
    </xf>
    <xf numFmtId="10" fontId="0" fillId="9" borderId="0" xfId="1" applyNumberFormat="1" applyFont="1" applyFill="1" applyAlignment="1">
      <alignment horizontal="center"/>
    </xf>
    <xf numFmtId="0" fontId="0" fillId="0" borderId="0" xfId="0" quotePrefix="1"/>
    <xf numFmtId="0" fontId="0" fillId="0" borderId="0" xfId="0" applyAlignment="1">
      <alignment vertical="center"/>
    </xf>
    <xf numFmtId="168" fontId="60" fillId="0" borderId="5" xfId="7" applyNumberFormat="1" applyFont="1" applyFill="1" applyBorder="1" applyAlignment="1" applyProtection="1">
      <alignment horizontal="center" vertical="center"/>
    </xf>
    <xf numFmtId="167" fontId="61" fillId="0" borderId="6" xfId="4" applyNumberFormat="1" applyFont="1" applyFill="1" applyBorder="1" applyAlignment="1">
      <alignment horizontal="center" vertical="center"/>
    </xf>
    <xf numFmtId="168" fontId="60" fillId="0" borderId="7" xfId="7" applyNumberFormat="1" applyFont="1" applyFill="1" applyBorder="1" applyAlignment="1" applyProtection="1">
      <alignment horizontal="center" vertical="center"/>
    </xf>
    <xf numFmtId="168" fontId="62" fillId="0" borderId="8" xfId="7" applyNumberFormat="1" applyFont="1" applyFill="1" applyBorder="1" applyAlignment="1" applyProtection="1">
      <alignment horizontal="center" vertical="center"/>
    </xf>
    <xf numFmtId="167" fontId="61" fillId="0" borderId="9" xfId="4" applyNumberFormat="1" applyFont="1" applyFill="1" applyBorder="1" applyAlignment="1">
      <alignment horizontal="center" vertical="center"/>
    </xf>
    <xf numFmtId="10" fontId="60" fillId="0" borderId="5" xfId="1" applyNumberFormat="1" applyFont="1" applyFill="1" applyBorder="1" applyAlignment="1" applyProtection="1">
      <alignment horizontal="center" vertical="center"/>
    </xf>
    <xf numFmtId="10" fontId="62" fillId="0" borderId="6" xfId="1" applyNumberFormat="1" applyFont="1" applyFill="1" applyBorder="1" applyAlignment="1" applyProtection="1">
      <alignment horizontal="center" vertical="center"/>
    </xf>
    <xf numFmtId="10" fontId="60" fillId="0" borderId="7" xfId="1" applyNumberFormat="1" applyFont="1" applyFill="1" applyBorder="1" applyAlignment="1" applyProtection="1">
      <alignment horizontal="center" vertical="center"/>
    </xf>
    <xf numFmtId="10" fontId="62" fillId="0" borderId="9" xfId="1" applyNumberFormat="1" applyFont="1" applyFill="1" applyBorder="1" applyAlignment="1" applyProtection="1">
      <alignment horizontal="center" vertical="center"/>
    </xf>
    <xf numFmtId="168" fontId="62" fillId="0" borderId="6" xfId="7" applyNumberFormat="1" applyFont="1" applyFill="1" applyBorder="1" applyAlignment="1" applyProtection="1">
      <alignment horizontal="center" vertical="center"/>
    </xf>
    <xf numFmtId="168" fontId="62" fillId="0" borderId="9" xfId="7" applyNumberFormat="1" applyFont="1" applyFill="1" applyBorder="1" applyAlignment="1" applyProtection="1">
      <alignment horizontal="center" vertical="center"/>
    </xf>
    <xf numFmtId="10" fontId="45" fillId="0" borderId="6" xfId="1" applyNumberFormat="1" applyFont="1" applyFill="1" applyBorder="1" applyAlignment="1">
      <alignment horizontal="center" vertical="center"/>
    </xf>
    <xf numFmtId="168" fontId="62" fillId="0" borderId="5" xfId="7" applyNumberFormat="1" applyFont="1" applyFill="1" applyBorder="1" applyAlignment="1" applyProtection="1">
      <alignment horizontal="center" vertical="center"/>
    </xf>
    <xf numFmtId="168" fontId="62" fillId="0" borderId="7" xfId="7" applyNumberFormat="1" applyFont="1" applyFill="1" applyBorder="1" applyAlignment="1" applyProtection="1">
      <alignment horizontal="center" vertical="center"/>
    </xf>
    <xf numFmtId="167" fontId="61" fillId="0" borderId="8" xfId="4" applyNumberFormat="1" applyFont="1" applyFill="1" applyBorder="1" applyAlignment="1">
      <alignment horizontal="center" vertical="center"/>
    </xf>
    <xf numFmtId="0" fontId="48" fillId="0" borderId="11" xfId="0" applyFont="1" applyFill="1" applyBorder="1" applyAlignment="1">
      <alignment horizontal="center" vertical="center"/>
    </xf>
    <xf numFmtId="0" fontId="48" fillId="0" borderId="12" xfId="0" applyFont="1" applyFill="1" applyBorder="1" applyAlignment="1">
      <alignment horizontal="center" vertical="center"/>
    </xf>
    <xf numFmtId="0" fontId="0" fillId="0" borderId="9" xfId="0" applyBorder="1"/>
    <xf numFmtId="0" fontId="3" fillId="8" borderId="1" xfId="8" applyBorder="1"/>
    <xf numFmtId="0" fontId="3" fillId="8" borderId="13" xfId="8" applyBorder="1" applyAlignment="1">
      <alignment horizontal="center"/>
    </xf>
    <xf numFmtId="0" fontId="3" fillId="8" borderId="14" xfId="8" applyBorder="1" applyAlignment="1">
      <alignment horizontal="center"/>
    </xf>
    <xf numFmtId="0" fontId="3" fillId="8" borderId="15" xfId="8" applyBorder="1" applyAlignment="1">
      <alignment horizontal="center"/>
    </xf>
    <xf numFmtId="0" fontId="25" fillId="8" borderId="23" xfId="8" applyFont="1" applyBorder="1" applyAlignment="1" applyProtection="1">
      <alignment horizontal="center"/>
    </xf>
    <xf numFmtId="49" fontId="0" fillId="0" borderId="0" xfId="0" quotePrefix="1" applyNumberFormat="1"/>
    <xf numFmtId="0" fontId="25" fillId="8" borderId="22" xfId="8" applyFont="1" applyBorder="1" applyAlignment="1" applyProtection="1">
      <alignment horizontal="center" wrapText="1"/>
    </xf>
    <xf numFmtId="168" fontId="28" fillId="0" borderId="22" xfId="7" applyNumberFormat="1" applyFont="1" applyFill="1" applyBorder="1" applyAlignment="1" applyProtection="1">
      <alignment horizontal="center"/>
    </xf>
    <xf numFmtId="168" fontId="28" fillId="0" borderId="23" xfId="7" applyNumberFormat="1" applyFont="1" applyFill="1" applyBorder="1" applyAlignment="1" applyProtection="1">
      <alignment horizontal="center"/>
    </xf>
    <xf numFmtId="0" fontId="9" fillId="5" borderId="0" xfId="0" applyFont="1" applyFill="1" applyBorder="1" applyAlignment="1" applyProtection="1">
      <alignment vertical="center"/>
    </xf>
    <xf numFmtId="0" fontId="9" fillId="5" borderId="8" xfId="0" applyFont="1" applyFill="1" applyBorder="1" applyAlignment="1" applyProtection="1">
      <alignment vertical="center"/>
    </xf>
    <xf numFmtId="168" fontId="13" fillId="3" borderId="5" xfId="4" applyNumberFormat="1" applyFont="1" applyFill="1" applyBorder="1" applyAlignment="1" applyProtection="1"/>
    <xf numFmtId="168" fontId="91" fillId="3" borderId="6" xfId="4" applyNumberFormat="1" applyFont="1" applyFill="1" applyBorder="1" applyAlignment="1" applyProtection="1"/>
    <xf numFmtId="168" fontId="13" fillId="3" borderId="7" xfId="4" applyNumberFormat="1" applyFont="1" applyFill="1" applyBorder="1" applyAlignment="1" applyProtection="1"/>
    <xf numFmtId="168" fontId="91" fillId="3" borderId="9" xfId="4" applyNumberFormat="1" applyFont="1" applyFill="1" applyBorder="1" applyAlignment="1" applyProtection="1"/>
    <xf numFmtId="169" fontId="43" fillId="0" borderId="0" xfId="1" applyNumberFormat="1" applyFont="1"/>
    <xf numFmtId="9" fontId="0" fillId="0" borderId="0" xfId="1" applyFont="1"/>
    <xf numFmtId="0" fontId="95" fillId="0" borderId="0" xfId="0" applyFont="1"/>
    <xf numFmtId="167" fontId="0" fillId="0" borderId="0" xfId="0" applyNumberFormat="1"/>
    <xf numFmtId="3" fontId="13" fillId="3" borderId="3" xfId="4" applyNumberFormat="1" applyFont="1" applyFill="1" applyBorder="1" applyAlignment="1" applyProtection="1"/>
    <xf numFmtId="3" fontId="13" fillId="3" borderId="0" xfId="4" applyNumberFormat="1" applyFont="1" applyFill="1" applyBorder="1" applyAlignment="1" applyProtection="1"/>
    <xf numFmtId="168" fontId="91" fillId="3" borderId="4" xfId="7" applyNumberFormat="1" applyFont="1" applyFill="1" applyBorder="1" applyAlignment="1" applyProtection="1"/>
    <xf numFmtId="168" fontId="91" fillId="3" borderId="6" xfId="7" applyNumberFormat="1" applyFont="1" applyFill="1" applyBorder="1" applyAlignment="1" applyProtection="1"/>
    <xf numFmtId="3" fontId="13" fillId="3" borderId="2" xfId="4" applyNumberFormat="1" applyFont="1" applyFill="1" applyBorder="1" applyAlignment="1" applyProtection="1"/>
    <xf numFmtId="3" fontId="13" fillId="3" borderId="5" xfId="4" applyNumberFormat="1" applyFont="1" applyFill="1" applyBorder="1" applyAlignment="1" applyProtection="1"/>
    <xf numFmtId="168" fontId="13" fillId="6" borderId="5" xfId="0" applyNumberFormat="1" applyFont="1" applyFill="1" applyBorder="1" applyAlignment="1" applyProtection="1"/>
    <xf numFmtId="10" fontId="13" fillId="3" borderId="3" xfId="1" applyNumberFormat="1" applyFont="1" applyFill="1" applyBorder="1" applyAlignment="1" applyProtection="1"/>
    <xf numFmtId="10" fontId="36" fillId="9" borderId="0" xfId="1" applyNumberFormat="1" applyFont="1" applyFill="1" applyAlignment="1">
      <alignment vertical="center"/>
    </xf>
    <xf numFmtId="10" fontId="20" fillId="5" borderId="0" xfId="1" applyNumberFormat="1" applyFont="1" applyFill="1" applyBorder="1" applyAlignment="1" applyProtection="1">
      <alignment horizontal="center"/>
    </xf>
    <xf numFmtId="10" fontId="0" fillId="9" borderId="0" xfId="1" applyNumberFormat="1" applyFont="1" applyFill="1"/>
    <xf numFmtId="10" fontId="20" fillId="5" borderId="6" xfId="1" applyNumberFormat="1" applyFont="1" applyFill="1" applyBorder="1" applyAlignment="1" applyProtection="1">
      <alignment horizontal="center"/>
    </xf>
    <xf numFmtId="10" fontId="13" fillId="6" borderId="4" xfId="1" applyNumberFormat="1" applyFont="1" applyFill="1" applyBorder="1" applyAlignment="1" applyProtection="1"/>
    <xf numFmtId="10" fontId="91" fillId="3" borderId="4" xfId="1" applyNumberFormat="1" applyFont="1" applyFill="1" applyBorder="1" applyAlignment="1" applyProtection="1"/>
    <xf numFmtId="10" fontId="91" fillId="3" borderId="6" xfId="1" applyNumberFormat="1" applyFont="1" applyFill="1" applyBorder="1" applyAlignment="1" applyProtection="1"/>
    <xf numFmtId="3" fontId="36" fillId="9" borderId="0" xfId="0" applyNumberFormat="1" applyFont="1" applyFill="1" applyAlignment="1">
      <alignment vertical="center"/>
    </xf>
    <xf numFmtId="3" fontId="20" fillId="5" borderId="0" xfId="0" applyNumberFormat="1" applyFont="1" applyFill="1" applyBorder="1" applyAlignment="1" applyProtection="1">
      <alignment horizontal="center"/>
    </xf>
    <xf numFmtId="3" fontId="13" fillId="6" borderId="3" xfId="4" applyNumberFormat="1" applyFont="1" applyFill="1" applyBorder="1" applyAlignment="1" applyProtection="1">
      <alignment vertical="center"/>
    </xf>
    <xf numFmtId="3" fontId="91" fillId="3" borderId="3" xfId="4" applyNumberFormat="1" applyFont="1" applyFill="1" applyBorder="1" applyAlignment="1" applyProtection="1"/>
    <xf numFmtId="3" fontId="91" fillId="3" borderId="0" xfId="4" applyNumberFormat="1" applyFont="1" applyFill="1" applyBorder="1" applyAlignment="1" applyProtection="1"/>
    <xf numFmtId="168" fontId="13" fillId="6" borderId="0" xfId="0" applyNumberFormat="1" applyFont="1" applyFill="1" applyBorder="1" applyAlignment="1" applyProtection="1"/>
    <xf numFmtId="3" fontId="13" fillId="6" borderId="8" xfId="0" applyNumberFormat="1" applyFont="1" applyFill="1" applyBorder="1" applyAlignment="1" applyProtection="1"/>
    <xf numFmtId="3" fontId="13" fillId="6" borderId="4" xfId="4" applyNumberFormat="1" applyFont="1" applyFill="1" applyBorder="1" applyAlignment="1" applyProtection="1">
      <alignment horizontal="center"/>
    </xf>
    <xf numFmtId="3" fontId="13" fillId="6" borderId="9" xfId="0" applyNumberFormat="1" applyFont="1" applyFill="1" applyBorder="1" applyAlignment="1" applyProtection="1">
      <alignment horizontal="center" vertical="center"/>
    </xf>
    <xf numFmtId="3" fontId="9" fillId="5" borderId="0" xfId="0" applyNumberFormat="1" applyFont="1" applyFill="1" applyBorder="1" applyAlignment="1" applyProtection="1">
      <alignment vertical="center"/>
    </xf>
    <xf numFmtId="3" fontId="9" fillId="5" borderId="8" xfId="0" applyNumberFormat="1" applyFont="1" applyFill="1" applyBorder="1" applyAlignment="1" applyProtection="1">
      <alignment vertical="center"/>
    </xf>
    <xf numFmtId="3" fontId="18" fillId="5" borderId="5" xfId="0" applyNumberFormat="1" applyFont="1" applyFill="1" applyBorder="1" applyAlignment="1" applyProtection="1">
      <alignment horizontal="center"/>
    </xf>
    <xf numFmtId="3" fontId="18" fillId="5" borderId="6" xfId="0" applyNumberFormat="1" applyFont="1" applyFill="1" applyBorder="1" applyAlignment="1" applyProtection="1">
      <alignment horizontal="center"/>
    </xf>
    <xf numFmtId="3" fontId="91" fillId="3" borderId="4" xfId="4" applyNumberFormat="1" applyFont="1" applyFill="1" applyBorder="1" applyAlignment="1" applyProtection="1"/>
    <xf numFmtId="3" fontId="91" fillId="3" borderId="6" xfId="4" applyNumberFormat="1" applyFont="1" applyFill="1" applyBorder="1" applyAlignment="1" applyProtection="1"/>
    <xf numFmtId="0" fontId="96" fillId="0" borderId="0" xfId="0" applyFont="1"/>
    <xf numFmtId="0" fontId="0" fillId="3" borderId="0" xfId="0" applyFill="1"/>
    <xf numFmtId="3" fontId="13" fillId="3" borderId="0" xfId="7" applyNumberFormat="1" applyFont="1" applyFill="1" applyBorder="1" applyAlignment="1" applyProtection="1"/>
    <xf numFmtId="0" fontId="43" fillId="3" borderId="0" xfId="0" applyFont="1" applyFill="1" applyAlignment="1"/>
    <xf numFmtId="0" fontId="43" fillId="0" borderId="0" xfId="0" applyFont="1" applyAlignment="1"/>
    <xf numFmtId="0" fontId="48" fillId="3" borderId="0" xfId="0" applyFont="1" applyFill="1"/>
    <xf numFmtId="0" fontId="52" fillId="3" borderId="0" xfId="0" applyFont="1" applyFill="1"/>
    <xf numFmtId="10" fontId="52" fillId="3" borderId="0" xfId="1" applyNumberFormat="1" applyFont="1" applyFill="1" applyAlignment="1">
      <alignment horizontal="center"/>
    </xf>
    <xf numFmtId="0" fontId="0" fillId="3" borderId="0" xfId="0" applyFill="1" applyAlignment="1">
      <alignment horizontal="center"/>
    </xf>
    <xf numFmtId="168" fontId="97" fillId="3" borderId="0" xfId="7" applyNumberFormat="1" applyFont="1" applyFill="1" applyBorder="1" applyAlignment="1" applyProtection="1"/>
    <xf numFmtId="3" fontId="97" fillId="3" borderId="0" xfId="7" applyNumberFormat="1" applyFont="1" applyFill="1" applyBorder="1" applyAlignment="1" applyProtection="1"/>
    <xf numFmtId="0" fontId="40" fillId="3" borderId="15" xfId="0" applyFont="1" applyFill="1" applyBorder="1" applyAlignment="1" applyProtection="1">
      <alignment horizontal="center"/>
      <protection locked="0"/>
    </xf>
    <xf numFmtId="0" fontId="9" fillId="5" borderId="13" xfId="0" applyFont="1" applyFill="1" applyBorder="1" applyAlignment="1" applyProtection="1">
      <alignment vertical="center"/>
    </xf>
    <xf numFmtId="0" fontId="43" fillId="6" borderId="2" xfId="0" applyFont="1" applyFill="1" applyBorder="1" applyAlignment="1"/>
    <xf numFmtId="0" fontId="43" fillId="6" borderId="3" xfId="0" applyFont="1" applyFill="1" applyBorder="1" applyAlignment="1"/>
    <xf numFmtId="0" fontId="43" fillId="6" borderId="3" xfId="0" applyFont="1" applyFill="1" applyBorder="1" applyAlignment="1">
      <alignment horizontal="center"/>
    </xf>
    <xf numFmtId="0" fontId="43" fillId="6" borderId="4" xfId="0" applyFont="1" applyFill="1" applyBorder="1" applyAlignment="1"/>
    <xf numFmtId="10" fontId="48" fillId="3" borderId="0" xfId="1" applyNumberFormat="1" applyFont="1" applyFill="1" applyBorder="1" applyAlignment="1">
      <alignment horizontal="center"/>
    </xf>
    <xf numFmtId="0" fontId="48" fillId="3" borderId="6" xfId="0" applyFont="1" applyFill="1" applyBorder="1"/>
    <xf numFmtId="0" fontId="48" fillId="3" borderId="5" xfId="0" applyFont="1" applyFill="1" applyBorder="1" applyAlignment="1">
      <alignment horizontal="right"/>
    </xf>
    <xf numFmtId="0" fontId="13" fillId="5" borderId="0" xfId="0" applyFont="1" applyFill="1" applyBorder="1" applyAlignment="1" applyProtection="1">
      <alignment horizontal="center"/>
      <protection locked="0"/>
    </xf>
    <xf numFmtId="10" fontId="48" fillId="3" borderId="8" xfId="1" applyNumberFormat="1" applyFont="1" applyFill="1" applyBorder="1" applyAlignment="1">
      <alignment horizontal="center"/>
    </xf>
    <xf numFmtId="10" fontId="48" fillId="3" borderId="0" xfId="1" applyNumberFormat="1" applyFont="1" applyFill="1" applyBorder="1"/>
    <xf numFmtId="10" fontId="48" fillId="3" borderId="6" xfId="1" applyNumberFormat="1" applyFont="1" applyFill="1" applyBorder="1"/>
    <xf numFmtId="0" fontId="42" fillId="10" borderId="10" xfId="2" applyFont="1" applyFill="1" applyBorder="1" applyAlignment="1">
      <alignment horizontal="center" wrapText="1"/>
    </xf>
    <xf numFmtId="167" fontId="37" fillId="3" borderId="1" xfId="0" applyNumberFormat="1" applyFont="1" applyFill="1" applyBorder="1" applyAlignment="1">
      <alignment horizontal="center" vertical="center"/>
    </xf>
    <xf numFmtId="167" fontId="57" fillId="3" borderId="11" xfId="4" applyNumberFormat="1" applyFont="1" applyFill="1" applyBorder="1" applyAlignment="1">
      <alignment horizontal="center"/>
    </xf>
    <xf numFmtId="167" fontId="57" fillId="3" borderId="12" xfId="4" applyNumberFormat="1" applyFont="1" applyFill="1" applyBorder="1" applyAlignment="1">
      <alignment horizontal="center"/>
    </xf>
    <xf numFmtId="167" fontId="56" fillId="3" borderId="11" xfId="4" applyNumberFormat="1" applyFont="1" applyFill="1" applyBorder="1" applyAlignment="1">
      <alignment horizontal="center"/>
    </xf>
    <xf numFmtId="167" fontId="56" fillId="3" borderId="12" xfId="4" applyNumberFormat="1" applyFont="1" applyFill="1" applyBorder="1" applyAlignment="1">
      <alignment horizontal="center"/>
    </xf>
    <xf numFmtId="0" fontId="42" fillId="10" borderId="1" xfId="2" applyFont="1" applyFill="1" applyBorder="1" applyAlignment="1">
      <alignment horizontal="center" wrapText="1"/>
    </xf>
    <xf numFmtId="169" fontId="42" fillId="10" borderId="1" xfId="1" applyNumberFormat="1" applyFont="1" applyFill="1" applyBorder="1" applyAlignment="1">
      <alignment horizontal="center" wrapText="1"/>
    </xf>
    <xf numFmtId="10" fontId="13" fillId="6" borderId="9" xfId="1" applyNumberFormat="1" applyFont="1" applyFill="1" applyBorder="1" applyAlignment="1" applyProtection="1"/>
    <xf numFmtId="0" fontId="48" fillId="3" borderId="7" xfId="0" applyFont="1" applyFill="1" applyBorder="1"/>
    <xf numFmtId="168" fontId="97" fillId="3" borderId="8" xfId="7" applyNumberFormat="1" applyFont="1" applyFill="1" applyBorder="1" applyAlignment="1" applyProtection="1"/>
    <xf numFmtId="3" fontId="97" fillId="3" borderId="8" xfId="7" applyNumberFormat="1" applyFont="1" applyFill="1" applyBorder="1" applyAlignment="1" applyProtection="1"/>
    <xf numFmtId="0" fontId="48" fillId="3" borderId="9" xfId="0" applyFont="1" applyFill="1" applyBorder="1"/>
    <xf numFmtId="167" fontId="75" fillId="0" borderId="0" xfId="4" applyNumberFormat="1" applyFont="1" applyFill="1" applyBorder="1"/>
    <xf numFmtId="167" fontId="76" fillId="0" borderId="0" xfId="4" applyNumberFormat="1" applyFont="1" applyFill="1" applyBorder="1"/>
    <xf numFmtId="167" fontId="71" fillId="0" borderId="0" xfId="4" applyNumberFormat="1" applyFont="1" applyFill="1" applyBorder="1"/>
    <xf numFmtId="167" fontId="71" fillId="24" borderId="0" xfId="4" applyNumberFormat="1" applyFont="1" applyFill="1" applyBorder="1"/>
    <xf numFmtId="167" fontId="71" fillId="25" borderId="0" xfId="4" applyNumberFormat="1" applyFont="1" applyFill="1" applyBorder="1"/>
    <xf numFmtId="167" fontId="100" fillId="0" borderId="0" xfId="4" applyNumberFormat="1" applyFont="1" applyFill="1" applyBorder="1"/>
    <xf numFmtId="167" fontId="101" fillId="26" borderId="0" xfId="4" applyNumberFormat="1" applyFont="1" applyFill="1" applyBorder="1"/>
    <xf numFmtId="167" fontId="71" fillId="27" borderId="0" xfId="4" applyNumberFormat="1" applyFont="1" applyFill="1" applyBorder="1"/>
    <xf numFmtId="167" fontId="71" fillId="16" borderId="0" xfId="4" applyNumberFormat="1" applyFont="1" applyFill="1" applyBorder="1"/>
    <xf numFmtId="167" fontId="100" fillId="16" borderId="0" xfId="4" applyNumberFormat="1" applyFont="1" applyFill="1" applyBorder="1"/>
    <xf numFmtId="167" fontId="100" fillId="24" borderId="0" xfId="4" applyNumberFormat="1" applyFont="1" applyFill="1" applyBorder="1"/>
    <xf numFmtId="167" fontId="48" fillId="24" borderId="0" xfId="4" applyNumberFormat="1" applyFont="1" applyFill="1" applyBorder="1"/>
    <xf numFmtId="167" fontId="71" fillId="28" borderId="0" xfId="4" applyNumberFormat="1" applyFont="1" applyFill="1" applyBorder="1"/>
    <xf numFmtId="167" fontId="100" fillId="28" borderId="0" xfId="4" applyNumberFormat="1" applyFont="1" applyFill="1" applyBorder="1"/>
    <xf numFmtId="167" fontId="48" fillId="28" borderId="0" xfId="4" applyNumberFormat="1" applyFont="1" applyFill="1" applyBorder="1"/>
    <xf numFmtId="10" fontId="48" fillId="28" borderId="0" xfId="1" applyNumberFormat="1" applyFont="1" applyFill="1" applyBorder="1"/>
    <xf numFmtId="10" fontId="79" fillId="13" borderId="35" xfId="1" applyNumberFormat="1" applyFont="1" applyFill="1" applyBorder="1" applyAlignment="1">
      <alignment horizontal="center" vertical="center" wrapText="1"/>
    </xf>
    <xf numFmtId="167" fontId="48" fillId="28" borderId="48" xfId="4" applyNumberFormat="1" applyFont="1" applyFill="1" applyBorder="1"/>
    <xf numFmtId="167" fontId="48" fillId="28" borderId="54" xfId="4" applyNumberFormat="1" applyFont="1" applyFill="1" applyBorder="1" applyProtection="1">
      <protection locked="0"/>
    </xf>
    <xf numFmtId="169" fontId="52" fillId="28" borderId="0" xfId="1" applyNumberFormat="1" applyFont="1" applyFill="1" applyBorder="1"/>
    <xf numFmtId="167" fontId="52" fillId="28" borderId="0" xfId="4" applyNumberFormat="1" applyFont="1" applyFill="1" applyBorder="1"/>
    <xf numFmtId="167" fontId="48" fillId="28" borderId="49" xfId="4" applyNumberFormat="1" applyFont="1" applyFill="1" applyBorder="1"/>
    <xf numFmtId="167" fontId="102" fillId="0" borderId="0" xfId="4" applyNumberFormat="1" applyFont="1" applyBorder="1"/>
    <xf numFmtId="167" fontId="48" fillId="0" borderId="0" xfId="0" applyNumberFormat="1" applyFont="1"/>
    <xf numFmtId="166" fontId="81" fillId="0" borderId="0" xfId="12" applyNumberFormat="1" applyFont="1" applyBorder="1"/>
    <xf numFmtId="167" fontId="71" fillId="0" borderId="54" xfId="4" applyNumberFormat="1" applyFont="1" applyBorder="1" applyProtection="1">
      <protection locked="0"/>
    </xf>
    <xf numFmtId="167" fontId="48" fillId="0" borderId="0" xfId="4" applyNumberFormat="1" applyFont="1" applyFill="1" applyAlignment="1">
      <alignment horizontal="center"/>
    </xf>
    <xf numFmtId="0" fontId="48" fillId="0" borderId="0" xfId="0" applyFont="1" applyFill="1" applyAlignment="1">
      <alignment horizontal="center"/>
    </xf>
    <xf numFmtId="10" fontId="48" fillId="0" borderId="0" xfId="1" applyNumberFormat="1" applyFont="1" applyFill="1" applyAlignment="1">
      <alignment horizontal="center"/>
    </xf>
    <xf numFmtId="0" fontId="35" fillId="11" borderId="26" xfId="0" quotePrefix="1" applyFont="1" applyFill="1" applyBorder="1" applyAlignment="1">
      <alignment vertical="center"/>
    </xf>
    <xf numFmtId="0" fontId="35" fillId="11" borderId="26" xfId="0" applyFont="1" applyFill="1" applyBorder="1" applyAlignment="1">
      <alignment vertical="center"/>
    </xf>
    <xf numFmtId="0" fontId="36" fillId="11" borderId="26" xfId="0" applyFont="1" applyFill="1" applyBorder="1" applyAlignment="1">
      <alignment vertical="center"/>
    </xf>
    <xf numFmtId="167" fontId="3" fillId="11" borderId="26" xfId="4" applyNumberFormat="1" applyFont="1" applyFill="1" applyBorder="1" applyAlignment="1">
      <alignment vertical="center"/>
    </xf>
    <xf numFmtId="0" fontId="48" fillId="0" borderId="0" xfId="0" applyNumberFormat="1" applyFont="1" applyFill="1"/>
    <xf numFmtId="165" fontId="48" fillId="0" borderId="0" xfId="0" applyNumberFormat="1" applyFont="1"/>
    <xf numFmtId="0" fontId="39" fillId="9" borderId="0" xfId="0" applyFont="1" applyFill="1" applyAlignment="1">
      <alignment horizontal="center" vertical="center"/>
    </xf>
    <xf numFmtId="0" fontId="35" fillId="9" borderId="3" xfId="0" applyFont="1" applyFill="1" applyBorder="1" applyAlignment="1">
      <alignment horizontal="center"/>
    </xf>
    <xf numFmtId="9" fontId="48" fillId="3" borderId="11" xfId="1" applyFont="1" applyFill="1" applyBorder="1" applyAlignment="1">
      <alignment horizontal="center"/>
    </xf>
    <xf numFmtId="9" fontId="71" fillId="3" borderId="11" xfId="1" applyFont="1" applyFill="1" applyBorder="1" applyAlignment="1">
      <alignment horizontal="center"/>
    </xf>
    <xf numFmtId="173" fontId="103" fillId="3" borderId="11" xfId="0" applyNumberFormat="1" applyFont="1" applyFill="1" applyBorder="1" applyAlignment="1">
      <alignment horizontal="center"/>
    </xf>
    <xf numFmtId="169" fontId="42" fillId="29" borderId="6" xfId="1" applyNumberFormat="1" applyFont="1" applyFill="1" applyBorder="1" applyAlignment="1">
      <alignment horizontal="center" wrapText="1"/>
    </xf>
    <xf numFmtId="169" fontId="42" fillId="26" borderId="6" xfId="1" applyNumberFormat="1" applyFont="1" applyFill="1" applyBorder="1" applyAlignment="1">
      <alignment horizontal="center" wrapText="1"/>
    </xf>
    <xf numFmtId="169" fontId="103" fillId="25" borderId="6" xfId="1" applyNumberFormat="1" applyFont="1" applyFill="1" applyBorder="1" applyAlignment="1">
      <alignment horizontal="center" wrapText="1"/>
    </xf>
    <xf numFmtId="0" fontId="43" fillId="3" borderId="0" xfId="0" applyFont="1" applyFill="1"/>
    <xf numFmtId="0" fontId="43" fillId="3" borderId="0" xfId="0" applyFont="1" applyFill="1" applyAlignment="1">
      <alignment wrapText="1"/>
    </xf>
    <xf numFmtId="0" fontId="37" fillId="3" borderId="0" xfId="0" applyFont="1" applyFill="1" applyAlignment="1">
      <alignment horizontal="center" vertical="center"/>
    </xf>
    <xf numFmtId="0" fontId="45" fillId="3" borderId="0" xfId="0" applyFont="1" applyFill="1" applyAlignment="1">
      <alignment horizontal="center" vertical="center"/>
    </xf>
    <xf numFmtId="172" fontId="71" fillId="3" borderId="0" xfId="0" applyNumberFormat="1" applyFont="1" applyFill="1"/>
    <xf numFmtId="0" fontId="71" fillId="3" borderId="0" xfId="0" applyFont="1" applyFill="1"/>
    <xf numFmtId="167" fontId="71" fillId="3" borderId="0" xfId="0" applyNumberFormat="1" applyFont="1" applyFill="1"/>
    <xf numFmtId="1" fontId="0" fillId="3" borderId="0" xfId="0" applyNumberFormat="1" applyFill="1"/>
    <xf numFmtId="170" fontId="0" fillId="3" borderId="0" xfId="4" applyNumberFormat="1" applyFont="1" applyFill="1" applyAlignment="1">
      <alignment horizontal="center"/>
    </xf>
    <xf numFmtId="3" fontId="0" fillId="3" borderId="0" xfId="0" applyNumberFormat="1" applyFill="1" applyAlignment="1">
      <alignment horizontal="center"/>
    </xf>
    <xf numFmtId="167" fontId="0" fillId="3" borderId="0" xfId="4" applyNumberFormat="1" applyFont="1" applyFill="1"/>
    <xf numFmtId="169" fontId="0" fillId="3" borderId="0" xfId="1" applyNumberFormat="1" applyFont="1" applyFill="1"/>
    <xf numFmtId="169" fontId="0" fillId="3" borderId="0" xfId="0" applyNumberFormat="1" applyFill="1"/>
    <xf numFmtId="165" fontId="0" fillId="3" borderId="0" xfId="4" applyFont="1" applyFill="1"/>
    <xf numFmtId="169" fontId="0" fillId="3" borderId="0" xfId="1" applyNumberFormat="1" applyFont="1" applyFill="1" applyAlignment="1">
      <alignment horizontal="center"/>
    </xf>
    <xf numFmtId="0" fontId="3" fillId="3" borderId="0" xfId="0" applyFont="1" applyFill="1"/>
    <xf numFmtId="0" fontId="5" fillId="3" borderId="0" xfId="5" applyFill="1" applyAlignment="1" applyProtection="1">
      <alignment horizontal="center"/>
    </xf>
    <xf numFmtId="10" fontId="0" fillId="3" borderId="0" xfId="1" applyNumberFormat="1" applyFont="1" applyFill="1"/>
    <xf numFmtId="1" fontId="45" fillId="0" borderId="15" xfId="0" applyNumberFormat="1" applyFont="1" applyBorder="1" applyAlignment="1">
      <alignment horizontal="center" vertical="center"/>
    </xf>
    <xf numFmtId="1" fontId="103" fillId="3" borderId="11" xfId="0" applyNumberFormat="1" applyFont="1" applyFill="1" applyBorder="1" applyAlignment="1">
      <alignment horizontal="center"/>
    </xf>
    <xf numFmtId="169" fontId="42" fillId="26" borderId="64" xfId="1" applyNumberFormat="1" applyFont="1" applyFill="1" applyBorder="1" applyAlignment="1">
      <alignment horizontal="center" wrapText="1"/>
    </xf>
    <xf numFmtId="169" fontId="103" fillId="25" borderId="64" xfId="1" applyNumberFormat="1" applyFont="1" applyFill="1" applyBorder="1" applyAlignment="1">
      <alignment horizontal="center" wrapText="1"/>
    </xf>
    <xf numFmtId="169" fontId="42" fillId="29" borderId="63" xfId="1" applyNumberFormat="1" applyFont="1" applyFill="1" applyBorder="1" applyAlignment="1">
      <alignment horizontal="center" wrapText="1"/>
    </xf>
    <xf numFmtId="9" fontId="48" fillId="0" borderId="0" xfId="1" applyFont="1" applyAlignment="1">
      <alignment horizontal="center"/>
    </xf>
    <xf numFmtId="1" fontId="48" fillId="0" borderId="0" xfId="1" applyNumberFormat="1" applyFont="1" applyAlignment="1">
      <alignment horizontal="center"/>
    </xf>
    <xf numFmtId="1" fontId="54" fillId="11" borderId="41" xfId="1" applyNumberFormat="1" applyFont="1" applyFill="1" applyBorder="1" applyAlignment="1">
      <alignment horizontal="center" vertical="center"/>
    </xf>
    <xf numFmtId="1" fontId="3" fillId="11" borderId="26" xfId="1" applyNumberFormat="1" applyFont="1" applyFill="1" applyBorder="1" applyAlignment="1">
      <alignment horizontal="center" vertical="center"/>
    </xf>
    <xf numFmtId="0" fontId="104" fillId="9" borderId="0" xfId="0" applyFont="1" applyFill="1" applyAlignment="1">
      <alignment horizontal="left" vertical="center"/>
    </xf>
    <xf numFmtId="0" fontId="105" fillId="9" borderId="0" xfId="0" applyFont="1" applyFill="1" applyAlignment="1">
      <alignment vertical="center"/>
    </xf>
    <xf numFmtId="3" fontId="37" fillId="3" borderId="15" xfId="4" applyNumberFormat="1" applyFont="1" applyFill="1" applyBorder="1" applyAlignment="1">
      <alignment horizontal="center" vertical="center"/>
    </xf>
    <xf numFmtId="173" fontId="48" fillId="3" borderId="6" xfId="4" applyNumberFormat="1" applyFont="1" applyFill="1" applyBorder="1" applyAlignment="1">
      <alignment horizontal="center"/>
    </xf>
    <xf numFmtId="173" fontId="48" fillId="3" borderId="9" xfId="4" applyNumberFormat="1" applyFont="1" applyFill="1" applyBorder="1" applyAlignment="1">
      <alignment horizontal="center"/>
    </xf>
    <xf numFmtId="173" fontId="37" fillId="3" borderId="15" xfId="4" applyNumberFormat="1" applyFont="1" applyFill="1" applyBorder="1" applyAlignment="1">
      <alignment horizontal="center" vertical="center"/>
    </xf>
    <xf numFmtId="3" fontId="45" fillId="3" borderId="3" xfId="0" applyNumberFormat="1" applyFont="1" applyFill="1" applyBorder="1" applyAlignment="1">
      <alignment horizontal="right" vertical="center"/>
    </xf>
    <xf numFmtId="164" fontId="56" fillId="3" borderId="0" xfId="4" applyNumberFormat="1" applyFont="1" applyFill="1" applyBorder="1" applyAlignment="1">
      <alignment horizontal="center"/>
    </xf>
    <xf numFmtId="164" fontId="56" fillId="3" borderId="8" xfId="4" applyNumberFormat="1" applyFont="1" applyFill="1" applyBorder="1" applyAlignment="1">
      <alignment horizontal="center"/>
    </xf>
    <xf numFmtId="164" fontId="45" fillId="3" borderId="3" xfId="4" applyNumberFormat="1" applyFont="1" applyFill="1" applyBorder="1" applyAlignment="1">
      <alignment horizontal="center" vertical="center"/>
    </xf>
    <xf numFmtId="3" fontId="68" fillId="3" borderId="3" xfId="0" applyNumberFormat="1" applyFont="1" applyFill="1" applyBorder="1" applyAlignment="1">
      <alignment horizontal="right" vertical="center"/>
    </xf>
    <xf numFmtId="167" fontId="68" fillId="3" borderId="4" xfId="4" applyNumberFormat="1" applyFont="1" applyFill="1" applyBorder="1" applyAlignment="1">
      <alignment horizontal="right" vertical="center"/>
    </xf>
    <xf numFmtId="167" fontId="69" fillId="3" borderId="6" xfId="4" applyNumberFormat="1" applyFont="1" applyFill="1" applyBorder="1" applyAlignment="1">
      <alignment horizontal="right"/>
    </xf>
    <xf numFmtId="167" fontId="69" fillId="3" borderId="9" xfId="4" applyNumberFormat="1" applyFont="1" applyFill="1" applyBorder="1" applyAlignment="1">
      <alignment horizontal="right"/>
    </xf>
    <xf numFmtId="9" fontId="59" fillId="3" borderId="10" xfId="1" applyFont="1" applyFill="1" applyBorder="1" applyAlignment="1" applyProtection="1">
      <alignment horizontal="center" vertical="center" wrapText="1"/>
    </xf>
    <xf numFmtId="9" fontId="59" fillId="3" borderId="11" xfId="1" applyFont="1" applyFill="1" applyBorder="1" applyAlignment="1" applyProtection="1">
      <alignment horizontal="center" vertical="center" wrapText="1"/>
    </xf>
    <xf numFmtId="9" fontId="59" fillId="3" borderId="12" xfId="1" applyFont="1" applyFill="1" applyBorder="1" applyAlignment="1" applyProtection="1">
      <alignment horizontal="center" vertical="center" wrapText="1"/>
    </xf>
    <xf numFmtId="0" fontId="3" fillId="8" borderId="13" xfId="8" applyBorder="1" applyAlignment="1">
      <alignment horizontal="center"/>
    </xf>
    <xf numFmtId="0" fontId="3" fillId="8" borderId="15" xfId="8" applyBorder="1" applyAlignment="1">
      <alignment horizontal="center"/>
    </xf>
    <xf numFmtId="0" fontId="48" fillId="0" borderId="10" xfId="0" applyFont="1" applyFill="1" applyBorder="1" applyAlignment="1">
      <alignment horizontal="center" vertical="center"/>
    </xf>
    <xf numFmtId="168" fontId="60" fillId="0" borderId="2" xfId="7" applyNumberFormat="1" applyFont="1" applyFill="1" applyBorder="1" applyAlignment="1" applyProtection="1">
      <alignment horizontal="center" vertical="center"/>
    </xf>
    <xf numFmtId="168" fontId="62" fillId="0" borderId="3" xfId="7" applyNumberFormat="1" applyFont="1" applyFill="1" applyBorder="1" applyAlignment="1" applyProtection="1">
      <alignment horizontal="center" vertical="center"/>
    </xf>
    <xf numFmtId="167" fontId="61" fillId="0" borderId="4" xfId="4" applyNumberFormat="1" applyFont="1" applyFill="1" applyBorder="1" applyAlignment="1">
      <alignment horizontal="center" vertical="center"/>
    </xf>
    <xf numFmtId="10" fontId="60" fillId="0" borderId="2" xfId="1" applyNumberFormat="1" applyFont="1" applyFill="1" applyBorder="1" applyAlignment="1" applyProtection="1">
      <alignment horizontal="center" vertical="center"/>
    </xf>
    <xf numFmtId="10" fontId="62" fillId="0" borderId="4" xfId="1" applyNumberFormat="1" applyFont="1" applyFill="1" applyBorder="1" applyAlignment="1" applyProtection="1">
      <alignment horizontal="center" vertical="center"/>
    </xf>
    <xf numFmtId="168" fontId="62" fillId="0" borderId="4" xfId="7" applyNumberFormat="1" applyFont="1" applyFill="1" applyBorder="1" applyAlignment="1" applyProtection="1">
      <alignment horizontal="center" vertical="center"/>
    </xf>
    <xf numFmtId="10" fontId="45" fillId="0" borderId="4" xfId="1" applyNumberFormat="1" applyFont="1" applyFill="1" applyBorder="1" applyAlignment="1">
      <alignment horizontal="center" vertical="center"/>
    </xf>
    <xf numFmtId="168" fontId="62" fillId="0" borderId="2" xfId="7" applyNumberFormat="1" applyFont="1" applyFill="1" applyBorder="1" applyAlignment="1" applyProtection="1">
      <alignment horizontal="center" vertical="center"/>
    </xf>
    <xf numFmtId="167" fontId="61" fillId="0" borderId="3" xfId="4" applyNumberFormat="1" applyFont="1" applyFill="1" applyBorder="1" applyAlignment="1">
      <alignment horizontal="center" vertical="center"/>
    </xf>
    <xf numFmtId="10" fontId="45" fillId="0" borderId="9" xfId="1" applyNumberFormat="1" applyFont="1" applyFill="1" applyBorder="1" applyAlignment="1">
      <alignment horizontal="center" vertical="center"/>
    </xf>
    <xf numFmtId="3" fontId="68" fillId="3" borderId="14" xfId="0" applyNumberFormat="1" applyFont="1" applyFill="1" applyBorder="1" applyAlignment="1">
      <alignment horizontal="right" vertical="center"/>
    </xf>
    <xf numFmtId="167" fontId="68" fillId="3" borderId="15" xfId="4" applyNumberFormat="1" applyFont="1" applyFill="1" applyBorder="1" applyAlignment="1">
      <alignment horizontal="right" vertical="center"/>
    </xf>
    <xf numFmtId="169" fontId="68" fillId="3" borderId="15" xfId="1" applyNumberFormat="1" applyFont="1" applyFill="1" applyBorder="1" applyAlignment="1">
      <alignment horizontal="center" vertical="center"/>
    </xf>
    <xf numFmtId="164" fontId="45" fillId="3" borderId="14" xfId="4" applyNumberFormat="1" applyFont="1" applyFill="1" applyBorder="1" applyAlignment="1">
      <alignment horizontal="center" vertical="center"/>
    </xf>
    <xf numFmtId="3" fontId="45" fillId="3" borderId="14" xfId="0" applyNumberFormat="1" applyFont="1" applyFill="1" applyBorder="1" applyAlignment="1">
      <alignment horizontal="right" vertical="center"/>
    </xf>
    <xf numFmtId="167" fontId="45" fillId="3" borderId="1" xfId="0" applyNumberFormat="1" applyFont="1" applyFill="1" applyBorder="1" applyAlignment="1">
      <alignment horizontal="center" vertical="center"/>
    </xf>
    <xf numFmtId="1" fontId="46" fillId="3" borderId="15" xfId="1" applyNumberFormat="1" applyFont="1" applyFill="1" applyBorder="1" applyAlignment="1">
      <alignment horizontal="center" vertical="center"/>
    </xf>
    <xf numFmtId="168" fontId="45" fillId="3" borderId="14" xfId="4" applyNumberFormat="1" applyFont="1" applyFill="1" applyBorder="1" applyAlignment="1">
      <alignment horizontal="center" vertical="center"/>
    </xf>
    <xf numFmtId="168" fontId="48" fillId="3" borderId="0" xfId="4" applyNumberFormat="1" applyFont="1" applyFill="1" applyBorder="1" applyAlignment="1">
      <alignment horizontal="center"/>
    </xf>
    <xf numFmtId="168" fontId="48" fillId="3" borderId="8" xfId="4" applyNumberFormat="1" applyFont="1" applyFill="1" applyBorder="1" applyAlignment="1">
      <alignment horizontal="center"/>
    </xf>
    <xf numFmtId="168" fontId="37" fillId="3" borderId="14" xfId="4" applyNumberFormat="1" applyFont="1" applyFill="1" applyBorder="1" applyAlignment="1">
      <alignment horizontal="center" vertical="center"/>
    </xf>
    <xf numFmtId="168" fontId="45" fillId="3" borderId="3" xfId="4" applyNumberFormat="1" applyFont="1" applyFill="1" applyBorder="1" applyAlignment="1">
      <alignment horizontal="center" vertical="center"/>
    </xf>
    <xf numFmtId="168" fontId="43" fillId="3" borderId="0" xfId="4" applyNumberFormat="1" applyFont="1" applyFill="1" applyBorder="1" applyAlignment="1">
      <alignment horizontal="center"/>
    </xf>
    <xf numFmtId="9" fontId="71" fillId="3" borderId="10" xfId="1" applyFont="1" applyFill="1" applyBorder="1" applyAlignment="1">
      <alignment horizontal="center"/>
    </xf>
    <xf numFmtId="9" fontId="48" fillId="3" borderId="12" xfId="1" applyFont="1" applyFill="1" applyBorder="1" applyAlignment="1">
      <alignment horizontal="center"/>
    </xf>
    <xf numFmtId="9" fontId="48" fillId="3" borderId="10" xfId="1" applyFont="1" applyFill="1" applyBorder="1" applyAlignment="1">
      <alignment horizontal="center"/>
    </xf>
    <xf numFmtId="1" fontId="103" fillId="3" borderId="10" xfId="0" applyNumberFormat="1" applyFont="1" applyFill="1" applyBorder="1" applyAlignment="1">
      <alignment horizontal="center"/>
    </xf>
    <xf numFmtId="1" fontId="103" fillId="3" borderId="12" xfId="0" applyNumberFormat="1" applyFont="1" applyFill="1" applyBorder="1" applyAlignment="1">
      <alignment horizontal="center"/>
    </xf>
    <xf numFmtId="9" fontId="48" fillId="0" borderId="0" xfId="1" applyFont="1" applyFill="1" applyAlignment="1">
      <alignment horizontal="center"/>
    </xf>
    <xf numFmtId="1" fontId="48" fillId="0" borderId="0" xfId="1" applyNumberFormat="1" applyFont="1" applyFill="1" applyAlignment="1">
      <alignment horizontal="center"/>
    </xf>
    <xf numFmtId="0" fontId="89" fillId="6" borderId="35" xfId="0" applyFont="1" applyFill="1" applyBorder="1" applyAlignment="1">
      <alignment horizontal="left"/>
    </xf>
    <xf numFmtId="0" fontId="3" fillId="22" borderId="0" xfId="0" applyFont="1" applyFill="1" applyBorder="1" applyAlignment="1">
      <alignment horizontal="center"/>
    </xf>
    <xf numFmtId="0" fontId="3" fillId="22" borderId="56" xfId="0" applyFont="1" applyFill="1" applyBorder="1" applyAlignment="1">
      <alignment horizontal="center"/>
    </xf>
    <xf numFmtId="0" fontId="84" fillId="6" borderId="50" xfId="0" applyFont="1" applyFill="1" applyBorder="1" applyAlignment="1">
      <alignment horizontal="left"/>
    </xf>
    <xf numFmtId="0" fontId="89" fillId="6" borderId="47" xfId="0" applyFont="1" applyFill="1" applyBorder="1" applyAlignment="1">
      <alignment horizontal="left"/>
    </xf>
    <xf numFmtId="0" fontId="89" fillId="6" borderId="0" xfId="0" applyFont="1" applyFill="1" applyBorder="1" applyAlignment="1">
      <alignment horizontal="left"/>
    </xf>
    <xf numFmtId="0" fontId="89" fillId="6" borderId="60" xfId="0" applyFont="1" applyFill="1" applyBorder="1" applyAlignment="1">
      <alignment horizontal="left"/>
    </xf>
    <xf numFmtId="0" fontId="85" fillId="22" borderId="2" xfId="0" applyFont="1" applyFill="1" applyBorder="1" applyAlignment="1">
      <alignment horizontal="center"/>
    </xf>
    <xf numFmtId="0" fontId="85" fillId="22" borderId="3" xfId="0" applyFont="1" applyFill="1" applyBorder="1" applyAlignment="1">
      <alignment horizontal="center"/>
    </xf>
    <xf numFmtId="0" fontId="85" fillId="22" borderId="4" xfId="0" applyFont="1" applyFill="1" applyBorder="1" applyAlignment="1">
      <alignment horizontal="center"/>
    </xf>
    <xf numFmtId="0" fontId="85" fillId="22" borderId="5" xfId="0" applyFont="1" applyFill="1" applyBorder="1" applyAlignment="1">
      <alignment horizontal="center"/>
    </xf>
    <xf numFmtId="0" fontId="85" fillId="22" borderId="0" xfId="0" applyFont="1" applyFill="1" applyBorder="1" applyAlignment="1">
      <alignment horizontal="center"/>
    </xf>
    <xf numFmtId="0" fontId="85" fillId="22" borderId="6" xfId="0" applyFont="1" applyFill="1" applyBorder="1" applyAlignment="1">
      <alignment horizontal="center"/>
    </xf>
    <xf numFmtId="0" fontId="86" fillId="20" borderId="0" xfId="0" applyFont="1" applyFill="1" applyAlignment="1">
      <alignment horizontal="center"/>
    </xf>
    <xf numFmtId="14" fontId="86" fillId="20" borderId="0" xfId="0" applyNumberFormat="1" applyFont="1" applyFill="1" applyAlignment="1">
      <alignment horizontal="center"/>
    </xf>
    <xf numFmtId="0" fontId="3" fillId="20" borderId="0" xfId="0" applyFont="1" applyFill="1" applyAlignment="1">
      <alignment horizontal="center"/>
    </xf>
    <xf numFmtId="14" fontId="3" fillId="20" borderId="0" xfId="0" applyNumberFormat="1" applyFont="1" applyFill="1" applyAlignment="1">
      <alignment horizontal="center"/>
    </xf>
    <xf numFmtId="0" fontId="5" fillId="0" borderId="0" xfId="5" applyAlignment="1" applyProtection="1">
      <alignment horizontal="center"/>
    </xf>
    <xf numFmtId="0" fontId="9" fillId="5" borderId="0" xfId="0" applyFont="1" applyFill="1" applyBorder="1" applyAlignment="1" applyProtection="1">
      <alignment horizontal="right" vertical="center"/>
    </xf>
    <xf numFmtId="0" fontId="9" fillId="5" borderId="8" xfId="0" applyFont="1" applyFill="1" applyBorder="1" applyAlignment="1" applyProtection="1">
      <alignment horizontal="right" vertical="center"/>
    </xf>
    <xf numFmtId="4" fontId="11" fillId="5" borderId="0" xfId="7" applyNumberFormat="1" applyFont="1" applyFill="1" applyBorder="1" applyAlignment="1" applyProtection="1">
      <alignment horizontal="center" vertical="center"/>
    </xf>
    <xf numFmtId="4" fontId="11" fillId="5" borderId="8" xfId="7" applyNumberFormat="1" applyFont="1" applyFill="1" applyBorder="1" applyAlignment="1" applyProtection="1">
      <alignment horizontal="center" vertical="center"/>
    </xf>
    <xf numFmtId="4" fontId="12" fillId="5" borderId="0" xfId="7" applyNumberFormat="1" applyFont="1" applyFill="1" applyBorder="1" applyAlignment="1" applyProtection="1">
      <alignment horizontal="center" vertical="center"/>
    </xf>
    <xf numFmtId="4" fontId="12" fillId="5" borderId="8" xfId="7" applyNumberFormat="1" applyFont="1" applyFill="1" applyBorder="1" applyAlignment="1" applyProtection="1">
      <alignment horizontal="center" vertical="center"/>
    </xf>
    <xf numFmtId="0" fontId="16" fillId="5" borderId="2" xfId="6" applyFont="1" applyFill="1" applyBorder="1" applyAlignment="1" applyProtection="1">
      <alignment horizontal="center"/>
    </xf>
    <xf numFmtId="0" fontId="16" fillId="5" borderId="4" xfId="6" applyFont="1" applyFill="1" applyBorder="1" applyAlignment="1" applyProtection="1">
      <alignment horizontal="center"/>
    </xf>
    <xf numFmtId="0" fontId="16" fillId="5" borderId="3" xfId="6" applyFont="1" applyFill="1" applyBorder="1" applyAlignment="1" applyProtection="1">
      <alignment horizontal="center"/>
    </xf>
    <xf numFmtId="168" fontId="16" fillId="5" borderId="2" xfId="6" applyNumberFormat="1" applyFont="1" applyFill="1" applyBorder="1" applyAlignment="1" applyProtection="1">
      <alignment horizontal="center"/>
    </xf>
    <xf numFmtId="168" fontId="16" fillId="5" borderId="4" xfId="6" applyNumberFormat="1" applyFont="1" applyFill="1" applyBorder="1" applyAlignment="1" applyProtection="1">
      <alignment horizontal="center"/>
    </xf>
    <xf numFmtId="0" fontId="17" fillId="5" borderId="2" xfId="0" applyFont="1" applyFill="1" applyBorder="1" applyAlignment="1" applyProtection="1">
      <alignment horizontal="center"/>
    </xf>
    <xf numFmtId="0" fontId="17" fillId="5" borderId="3" xfId="0" applyFont="1" applyFill="1" applyBorder="1" applyAlignment="1" applyProtection="1">
      <alignment horizontal="center"/>
    </xf>
    <xf numFmtId="168" fontId="13" fillId="6" borderId="4" xfId="4" applyNumberFormat="1" applyFont="1" applyFill="1" applyBorder="1" applyAlignment="1" applyProtection="1">
      <alignment vertical="center"/>
    </xf>
    <xf numFmtId="168" fontId="13" fillId="6" borderId="9" xfId="4" applyNumberFormat="1" applyFont="1" applyFill="1" applyBorder="1" applyAlignment="1" applyProtection="1">
      <alignment vertical="center"/>
    </xf>
    <xf numFmtId="168" fontId="13" fillId="6" borderId="3" xfId="0" applyNumberFormat="1" applyFont="1" applyFill="1" applyBorder="1" applyAlignment="1" applyProtection="1">
      <alignment vertical="center"/>
    </xf>
    <xf numFmtId="168" fontId="13" fillId="6" borderId="8" xfId="0" applyNumberFormat="1" applyFont="1" applyFill="1" applyBorder="1" applyAlignment="1" applyProtection="1">
      <alignment vertical="center"/>
    </xf>
    <xf numFmtId="10" fontId="13" fillId="6" borderId="4" xfId="1" applyNumberFormat="1" applyFont="1" applyFill="1" applyBorder="1" applyAlignment="1" applyProtection="1">
      <alignment horizontal="center" vertical="center"/>
    </xf>
    <xf numFmtId="10" fontId="13" fillId="6" borderId="9" xfId="1" applyNumberFormat="1" applyFont="1" applyFill="1" applyBorder="1" applyAlignment="1" applyProtection="1">
      <alignment horizontal="center" vertical="center"/>
    </xf>
    <xf numFmtId="9" fontId="13" fillId="6" borderId="4" xfId="1" applyFont="1" applyFill="1" applyBorder="1" applyAlignment="1" applyProtection="1">
      <alignment vertical="center"/>
    </xf>
    <xf numFmtId="9" fontId="13" fillId="6" borderId="9" xfId="1" applyFont="1" applyFill="1" applyBorder="1" applyAlignment="1" applyProtection="1">
      <alignment vertical="center"/>
    </xf>
    <xf numFmtId="10" fontId="13" fillId="6" borderId="4" xfId="1" applyNumberFormat="1" applyFont="1" applyFill="1" applyBorder="1" applyAlignment="1" applyProtection="1">
      <alignment vertical="center"/>
    </xf>
    <xf numFmtId="10" fontId="13" fillId="6" borderId="9" xfId="1" applyNumberFormat="1" applyFont="1" applyFill="1" applyBorder="1" applyAlignment="1" applyProtection="1">
      <alignment vertical="center"/>
    </xf>
    <xf numFmtId="168" fontId="13" fillId="6" borderId="3" xfId="4" applyNumberFormat="1" applyFont="1" applyFill="1" applyBorder="1" applyAlignment="1" applyProtection="1">
      <alignment vertical="center"/>
    </xf>
    <xf numFmtId="168" fontId="13" fillId="6" borderId="8" xfId="4" applyNumberFormat="1" applyFont="1" applyFill="1" applyBorder="1" applyAlignment="1" applyProtection="1">
      <alignment vertical="center"/>
    </xf>
    <xf numFmtId="10" fontId="13" fillId="6" borderId="3" xfId="1" applyNumberFormat="1" applyFont="1" applyFill="1" applyBorder="1" applyAlignment="1" applyProtection="1">
      <alignment vertical="center"/>
    </xf>
    <xf numFmtId="10" fontId="13" fillId="6" borderId="8" xfId="1" applyNumberFormat="1" applyFont="1" applyFill="1" applyBorder="1" applyAlignment="1" applyProtection="1">
      <alignment vertical="center"/>
    </xf>
    <xf numFmtId="0" fontId="17" fillId="5" borderId="4" xfId="0" applyFont="1" applyFill="1" applyBorder="1" applyAlignment="1" applyProtection="1">
      <alignment horizontal="center"/>
    </xf>
    <xf numFmtId="168" fontId="13" fillId="6" borderId="2" xfId="1" applyNumberFormat="1" applyFont="1" applyFill="1" applyBorder="1" applyAlignment="1" applyProtection="1">
      <alignment horizontal="center" vertical="center"/>
    </xf>
    <xf numFmtId="168" fontId="13" fillId="6" borderId="7" xfId="1" applyNumberFormat="1" applyFont="1" applyFill="1" applyBorder="1" applyAlignment="1" applyProtection="1">
      <alignment horizontal="center" vertical="center"/>
    </xf>
    <xf numFmtId="0" fontId="5" fillId="0" borderId="0" xfId="5" applyBorder="1" applyAlignment="1" applyProtection="1">
      <alignment horizontal="center"/>
    </xf>
    <xf numFmtId="169" fontId="13" fillId="6" borderId="2" xfId="1" applyNumberFormat="1" applyFont="1" applyFill="1" applyBorder="1" applyAlignment="1" applyProtection="1">
      <alignment horizontal="center" vertical="center"/>
    </xf>
    <xf numFmtId="169" fontId="13" fillId="6" borderId="7" xfId="1" applyNumberFormat="1" applyFont="1" applyFill="1" applyBorder="1" applyAlignment="1" applyProtection="1">
      <alignment horizontal="center" vertical="center"/>
    </xf>
    <xf numFmtId="168" fontId="13" fillId="6" borderId="2" xfId="4" applyNumberFormat="1" applyFont="1" applyFill="1" applyBorder="1" applyAlignment="1" applyProtection="1">
      <alignment vertical="center"/>
    </xf>
    <xf numFmtId="168" fontId="13" fillId="6" borderId="7" xfId="4" applyNumberFormat="1" applyFont="1" applyFill="1" applyBorder="1" applyAlignment="1" applyProtection="1">
      <alignment vertical="center"/>
    </xf>
    <xf numFmtId="1" fontId="13" fillId="6" borderId="2" xfId="1" applyNumberFormat="1" applyFont="1" applyFill="1" applyBorder="1" applyAlignment="1" applyProtection="1">
      <alignment horizontal="center" vertical="center"/>
    </xf>
    <xf numFmtId="1" fontId="13" fillId="6" borderId="7" xfId="1" applyNumberFormat="1" applyFont="1" applyFill="1" applyBorder="1" applyAlignment="1" applyProtection="1">
      <alignment horizontal="center" vertical="center"/>
    </xf>
    <xf numFmtId="169" fontId="16" fillId="5" borderId="2" xfId="1" applyNumberFormat="1" applyFont="1" applyFill="1" applyBorder="1" applyAlignment="1" applyProtection="1">
      <alignment horizontal="center"/>
    </xf>
    <xf numFmtId="169" fontId="16" fillId="5" borderId="4" xfId="1" applyNumberFormat="1" applyFont="1" applyFill="1" applyBorder="1" applyAlignment="1" applyProtection="1">
      <alignment horizontal="center"/>
    </xf>
    <xf numFmtId="0" fontId="9" fillId="5" borderId="0" xfId="0" applyFont="1" applyFill="1" applyBorder="1" applyAlignment="1" applyProtection="1">
      <alignment horizontal="center" vertical="center"/>
    </xf>
    <xf numFmtId="0" fontId="9" fillId="5" borderId="8" xfId="0" applyFont="1" applyFill="1" applyBorder="1" applyAlignment="1" applyProtection="1">
      <alignment horizontal="center" vertical="center"/>
    </xf>
    <xf numFmtId="3" fontId="16" fillId="5" borderId="2" xfId="6" applyNumberFormat="1" applyFont="1" applyFill="1" applyBorder="1" applyAlignment="1" applyProtection="1">
      <alignment horizontal="center"/>
    </xf>
    <xf numFmtId="3" fontId="16" fillId="5" borderId="4" xfId="6" applyNumberFormat="1" applyFont="1" applyFill="1" applyBorder="1" applyAlignment="1" applyProtection="1">
      <alignment horizontal="center"/>
    </xf>
    <xf numFmtId="3" fontId="13" fillId="6" borderId="3" xfId="1" applyNumberFormat="1" applyFont="1" applyFill="1" applyBorder="1" applyAlignment="1" applyProtection="1">
      <alignment horizontal="center" vertical="center"/>
    </xf>
    <xf numFmtId="3" fontId="13" fillId="6" borderId="8" xfId="1" applyNumberFormat="1" applyFont="1" applyFill="1" applyBorder="1" applyAlignment="1" applyProtection="1">
      <alignment horizontal="center" vertical="center"/>
    </xf>
    <xf numFmtId="10" fontId="13" fillId="6" borderId="3" xfId="1" applyNumberFormat="1" applyFont="1" applyFill="1" applyBorder="1" applyAlignment="1" applyProtection="1">
      <alignment horizontal="center" vertical="center"/>
    </xf>
    <xf numFmtId="10" fontId="13" fillId="6" borderId="8" xfId="1" applyNumberFormat="1" applyFont="1" applyFill="1" applyBorder="1" applyAlignment="1" applyProtection="1">
      <alignment horizontal="center" vertical="center"/>
    </xf>
    <xf numFmtId="168" fontId="13" fillId="6" borderId="0" xfId="4" applyNumberFormat="1" applyFont="1" applyFill="1" applyBorder="1" applyAlignment="1" applyProtection="1">
      <alignment vertical="center"/>
    </xf>
    <xf numFmtId="3" fontId="13" fillId="6" borderId="2" xfId="4" applyNumberFormat="1" applyFont="1" applyFill="1" applyBorder="1" applyAlignment="1" applyProtection="1">
      <alignment vertical="center"/>
    </xf>
    <xf numFmtId="3" fontId="13" fillId="6" borderId="7" xfId="4" applyNumberFormat="1" applyFont="1" applyFill="1" applyBorder="1" applyAlignment="1" applyProtection="1">
      <alignment vertical="center"/>
    </xf>
    <xf numFmtId="0" fontId="11" fillId="5" borderId="8" xfId="0" applyFont="1" applyFill="1" applyBorder="1" applyAlignment="1" applyProtection="1">
      <alignment horizontal="center" vertical="center"/>
    </xf>
    <xf numFmtId="0" fontId="64" fillId="2" borderId="0" xfId="2" applyFont="1" applyAlignment="1">
      <alignment horizontal="center" vertical="center"/>
    </xf>
    <xf numFmtId="0" fontId="63" fillId="0" borderId="35" xfId="0" applyFont="1" applyBorder="1" applyAlignment="1">
      <alignment horizontal="center" vertical="center"/>
    </xf>
    <xf numFmtId="0" fontId="63" fillId="0" borderId="28" xfId="0" applyFont="1" applyBorder="1" applyAlignment="1">
      <alignment horizontal="center" vertical="center"/>
    </xf>
    <xf numFmtId="0" fontId="3" fillId="8" borderId="13" xfId="8" applyBorder="1" applyAlignment="1">
      <alignment horizontal="center"/>
    </xf>
    <xf numFmtId="0" fontId="3" fillId="8" borderId="15" xfId="8" applyBorder="1" applyAlignment="1">
      <alignment horizontal="center"/>
    </xf>
    <xf numFmtId="0" fontId="3" fillId="2" borderId="18" xfId="2" applyBorder="1" applyAlignment="1" applyProtection="1">
      <alignment horizontal="center"/>
    </xf>
    <xf numFmtId="0" fontId="3" fillId="2" borderId="20" xfId="2" applyBorder="1" applyAlignment="1" applyProtection="1">
      <alignment horizontal="center"/>
    </xf>
    <xf numFmtId="0" fontId="25" fillId="8" borderId="22" xfId="8" applyFont="1" applyBorder="1" applyAlignment="1" applyProtection="1">
      <alignment horizontal="center"/>
    </xf>
    <xf numFmtId="0" fontId="25" fillId="8" borderId="23" xfId="8" applyFont="1" applyBorder="1" applyAlignment="1" applyProtection="1">
      <alignment horizontal="center"/>
    </xf>
    <xf numFmtId="0" fontId="24" fillId="5" borderId="0" xfId="0" applyFont="1" applyFill="1" applyBorder="1" applyAlignment="1" applyProtection="1">
      <alignment horizontal="center" vertical="center"/>
    </xf>
    <xf numFmtId="0" fontId="24" fillId="5" borderId="16" xfId="0" applyFont="1" applyFill="1" applyBorder="1" applyAlignment="1" applyProtection="1">
      <alignment horizontal="center" vertical="center"/>
    </xf>
    <xf numFmtId="0" fontId="3" fillId="2" borderId="19" xfId="2" applyBorder="1" applyAlignment="1" applyProtection="1">
      <alignment horizontal="center"/>
    </xf>
    <xf numFmtId="0" fontId="25" fillId="8" borderId="0" xfId="8" applyFont="1" applyBorder="1" applyAlignment="1" applyProtection="1">
      <alignment horizontal="center"/>
    </xf>
    <xf numFmtId="0" fontId="24" fillId="9" borderId="0" xfId="0" applyFont="1" applyFill="1" applyBorder="1" applyAlignment="1" applyProtection="1">
      <alignment horizontal="center" vertical="center"/>
    </xf>
    <xf numFmtId="0" fontId="35" fillId="9" borderId="0" xfId="0" applyFont="1" applyFill="1" applyAlignment="1">
      <alignment horizontal="center" vertical="center"/>
    </xf>
    <xf numFmtId="0" fontId="42" fillId="10" borderId="27" xfId="0" applyFont="1" applyFill="1" applyBorder="1" applyAlignment="1">
      <alignment horizontal="center"/>
    </xf>
    <xf numFmtId="0" fontId="42" fillId="10" borderId="35" xfId="0" applyFont="1" applyFill="1" applyBorder="1" applyAlignment="1">
      <alignment horizontal="center"/>
    </xf>
    <xf numFmtId="0" fontId="42" fillId="10" borderId="28" xfId="0" applyFont="1" applyFill="1" applyBorder="1" applyAlignment="1">
      <alignment horizontal="center"/>
    </xf>
    <xf numFmtId="0" fontId="38" fillId="10" borderId="27" xfId="0" applyFont="1" applyFill="1" applyBorder="1" applyAlignment="1">
      <alignment horizontal="center"/>
    </xf>
    <xf numFmtId="0" fontId="38" fillId="10" borderId="35" xfId="0" applyFont="1" applyFill="1" applyBorder="1" applyAlignment="1">
      <alignment horizontal="center"/>
    </xf>
    <xf numFmtId="0" fontId="38" fillId="10" borderId="28" xfId="0" applyFont="1" applyFill="1" applyBorder="1" applyAlignment="1">
      <alignment horizontal="center"/>
    </xf>
    <xf numFmtId="0" fontId="39" fillId="9" borderId="0" xfId="0" applyFont="1" applyFill="1" applyAlignment="1">
      <alignment horizontal="center" vertical="center"/>
    </xf>
    <xf numFmtId="0" fontId="42" fillId="10" borderId="13" xfId="2" applyFont="1" applyFill="1" applyBorder="1" applyAlignment="1">
      <alignment horizontal="center"/>
    </xf>
    <xf numFmtId="0" fontId="42" fillId="10" borderId="15" xfId="2" applyFont="1" applyFill="1" applyBorder="1" applyAlignment="1">
      <alignment horizontal="center"/>
    </xf>
    <xf numFmtId="3" fontId="42" fillId="10" borderId="13" xfId="2" applyNumberFormat="1" applyFont="1" applyFill="1" applyBorder="1" applyAlignment="1">
      <alignment horizontal="center"/>
    </xf>
    <xf numFmtId="0" fontId="0" fillId="0" borderId="14" xfId="0" applyBorder="1"/>
    <xf numFmtId="0" fontId="0" fillId="0" borderId="15" xfId="0" applyBorder="1"/>
    <xf numFmtId="0" fontId="42" fillId="10" borderId="14" xfId="2" applyFont="1" applyFill="1" applyBorder="1" applyAlignment="1">
      <alignment horizontal="center"/>
    </xf>
    <xf numFmtId="0" fontId="42" fillId="10" borderId="10" xfId="2" applyFont="1" applyFill="1" applyBorder="1" applyAlignment="1">
      <alignment horizontal="left" vertical="center"/>
    </xf>
    <xf numFmtId="0" fontId="42" fillId="10" borderId="12" xfId="2" applyFont="1" applyFill="1" applyBorder="1" applyAlignment="1">
      <alignment horizontal="left" vertical="center"/>
    </xf>
    <xf numFmtId="0" fontId="45" fillId="3" borderId="2" xfId="0" applyFont="1" applyFill="1" applyBorder="1" applyAlignment="1" applyProtection="1">
      <alignment horizontal="center" vertical="center"/>
      <protection locked="0"/>
    </xf>
    <xf numFmtId="0" fontId="45" fillId="3" borderId="4" xfId="0" applyFont="1" applyFill="1" applyBorder="1" applyAlignment="1" applyProtection="1">
      <alignment horizontal="center" vertical="center"/>
      <protection locked="0"/>
    </xf>
    <xf numFmtId="0" fontId="42" fillId="10" borderId="13" xfId="2" applyFont="1" applyFill="1" applyBorder="1" applyAlignment="1">
      <alignment horizontal="center" wrapText="1"/>
    </xf>
    <xf numFmtId="0" fontId="42" fillId="10" borderId="15" xfId="2" applyFont="1" applyFill="1" applyBorder="1" applyAlignment="1">
      <alignment horizontal="center" wrapText="1"/>
    </xf>
    <xf numFmtId="0" fontId="37" fillId="3" borderId="13" xfId="0" applyFont="1" applyFill="1" applyBorder="1" applyAlignment="1">
      <alignment horizontal="center" vertical="center"/>
    </xf>
    <xf numFmtId="0" fontId="37" fillId="3" borderId="15" xfId="0" applyFont="1" applyFill="1" applyBorder="1" applyAlignment="1">
      <alignment horizontal="center" vertical="center"/>
    </xf>
    <xf numFmtId="0" fontId="35" fillId="9" borderId="3" xfId="0" applyFont="1" applyFill="1" applyBorder="1" applyAlignment="1">
      <alignment horizontal="center"/>
    </xf>
    <xf numFmtId="3" fontId="42" fillId="10" borderId="14" xfId="2" applyNumberFormat="1" applyFont="1" applyFill="1" applyBorder="1" applyAlignment="1">
      <alignment horizontal="center"/>
    </xf>
    <xf numFmtId="3" fontId="42" fillId="10" borderId="15" xfId="2" applyNumberFormat="1"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39" fillId="9" borderId="0" xfId="0" applyFont="1" applyFill="1" applyAlignment="1">
      <alignment horizontal="left" vertical="center"/>
    </xf>
    <xf numFmtId="0" fontId="53" fillId="11" borderId="43" xfId="0" applyFont="1" applyFill="1" applyBorder="1" applyAlignment="1">
      <alignment horizontal="center" vertical="center"/>
    </xf>
    <xf numFmtId="0" fontId="53" fillId="11" borderId="44" xfId="0" applyFont="1" applyFill="1" applyBorder="1" applyAlignment="1">
      <alignment horizontal="center" vertical="center"/>
    </xf>
    <xf numFmtId="10" fontId="42" fillId="10" borderId="27" xfId="1" applyNumberFormat="1" applyFont="1" applyFill="1" applyBorder="1" applyAlignment="1">
      <alignment horizontal="center"/>
    </xf>
    <xf numFmtId="10" fontId="42" fillId="10" borderId="28" xfId="1" applyNumberFormat="1" applyFont="1" applyFill="1" applyBorder="1" applyAlignment="1">
      <alignment horizontal="center"/>
    </xf>
    <xf numFmtId="167" fontId="42" fillId="10" borderId="27" xfId="4" applyNumberFormat="1" applyFont="1" applyFill="1" applyBorder="1" applyAlignment="1">
      <alignment horizontal="center"/>
    </xf>
    <xf numFmtId="167" fontId="42" fillId="10" borderId="28" xfId="4" applyNumberFormat="1" applyFont="1" applyFill="1" applyBorder="1" applyAlignment="1">
      <alignment horizontal="center"/>
    </xf>
    <xf numFmtId="167" fontId="42" fillId="10" borderId="27" xfId="4" applyNumberFormat="1" applyFont="1" applyFill="1" applyBorder="1" applyAlignment="1">
      <alignment horizontal="left"/>
    </xf>
    <xf numFmtId="167" fontId="42" fillId="10" borderId="28" xfId="4" applyNumberFormat="1" applyFont="1" applyFill="1" applyBorder="1" applyAlignment="1">
      <alignment horizontal="left"/>
    </xf>
    <xf numFmtId="10" fontId="42" fillId="10" borderId="27" xfId="1" applyNumberFormat="1" applyFont="1" applyFill="1" applyBorder="1" applyAlignment="1">
      <alignment horizontal="left"/>
    </xf>
    <xf numFmtId="10" fontId="42" fillId="10" borderId="28" xfId="1" applyNumberFormat="1" applyFont="1" applyFill="1" applyBorder="1" applyAlignment="1">
      <alignment horizontal="left"/>
    </xf>
    <xf numFmtId="0" fontId="5" fillId="19" borderId="50" xfId="5" applyFill="1" applyBorder="1" applyAlignment="1" applyProtection="1">
      <alignment horizontal="center"/>
    </xf>
    <xf numFmtId="167" fontId="3" fillId="10" borderId="27" xfId="4" applyNumberFormat="1" applyFont="1" applyFill="1" applyBorder="1" applyAlignment="1">
      <alignment horizontal="center"/>
    </xf>
    <xf numFmtId="167" fontId="3" fillId="10" borderId="28" xfId="4" applyNumberFormat="1" applyFont="1" applyFill="1" applyBorder="1" applyAlignment="1">
      <alignment horizontal="center"/>
    </xf>
    <xf numFmtId="10" fontId="3" fillId="10" borderId="27" xfId="1" applyNumberFormat="1" applyFont="1" applyFill="1" applyBorder="1" applyAlignment="1">
      <alignment horizontal="center"/>
    </xf>
    <xf numFmtId="10" fontId="3" fillId="10" borderId="28" xfId="1" applyNumberFormat="1" applyFont="1" applyFill="1" applyBorder="1" applyAlignment="1">
      <alignment horizontal="center"/>
    </xf>
    <xf numFmtId="167" fontId="45" fillId="18" borderId="27" xfId="4" applyNumberFormat="1" applyFont="1" applyFill="1" applyBorder="1" applyAlignment="1">
      <alignment horizontal="center" vertical="center" wrapText="1"/>
    </xf>
    <xf numFmtId="167" fontId="45" fillId="18" borderId="28" xfId="4" applyNumberFormat="1" applyFont="1" applyFill="1" applyBorder="1" applyAlignment="1">
      <alignment horizontal="center" vertical="center" wrapText="1"/>
    </xf>
    <xf numFmtId="167" fontId="45" fillId="18" borderId="35" xfId="4" applyNumberFormat="1" applyFont="1" applyFill="1" applyBorder="1" applyAlignment="1">
      <alignment horizontal="center" vertical="center" wrapText="1"/>
    </xf>
    <xf numFmtId="0" fontId="80" fillId="18" borderId="35" xfId="10" applyFont="1" applyFill="1" applyBorder="1" applyAlignment="1">
      <alignment horizontal="center" vertical="center" wrapText="1"/>
    </xf>
    <xf numFmtId="0" fontId="80" fillId="18" borderId="28" xfId="10" applyFont="1" applyFill="1" applyBorder="1" applyAlignment="1">
      <alignment horizontal="center" vertical="center" wrapText="1"/>
    </xf>
    <xf numFmtId="0" fontId="72" fillId="2" borderId="0" xfId="2" applyFont="1" applyBorder="1" applyAlignment="1">
      <alignment horizontal="center"/>
    </xf>
    <xf numFmtId="0" fontId="82" fillId="0" borderId="0" xfId="5" applyFont="1" applyAlignment="1" applyProtection="1">
      <alignment horizontal="center"/>
    </xf>
    <xf numFmtId="0" fontId="83" fillId="0" borderId="0" xfId="0" applyFont="1" applyAlignment="1">
      <alignment horizontal="center" wrapText="1"/>
    </xf>
  </cellXfs>
  <cellStyles count="13">
    <cellStyle name="40 % - uthevingsfarge 1" xfId="10" builtinId="31"/>
    <cellStyle name="60 % - uthevingsfarge 1" xfId="8" builtinId="32"/>
    <cellStyle name="Hyperkobling" xfId="5" builtinId="8"/>
    <cellStyle name="Komma" xfId="4" builtinId="3"/>
    <cellStyle name="Merknad" xfId="9" builtinId="10"/>
    <cellStyle name="Normal" xfId="0" builtinId="0"/>
    <cellStyle name="Normal_Sheet1" xfId="11"/>
    <cellStyle name="Normal_TELEFONMØTE" xfId="3"/>
    <cellStyle name="Prosent" xfId="1" builtinId="5"/>
    <cellStyle name="Tusenskille_hovedrapport_butikk_Slependen" xfId="7"/>
    <cellStyle name="Uthevingsfarge1" xfId="2" builtinId="29"/>
    <cellStyle name="Uthevingsfarge4" xfId="6" builtinId="41"/>
    <cellStyle name="Valuta" xfId="12" builtinId="4"/>
  </cellStyles>
  <dxfs count="100">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00A44A"/>
      </font>
    </dxf>
    <dxf>
      <font>
        <color rgb="FFFF0000"/>
      </font>
    </dxf>
    <dxf>
      <font>
        <color rgb="FFFF0000"/>
      </font>
    </dxf>
    <dxf>
      <font>
        <color rgb="FFFF0000"/>
      </font>
    </dxf>
    <dxf>
      <font>
        <color auto="1"/>
      </font>
      <fill>
        <patternFill>
          <bgColor theme="6" tint="0.59996337778862885"/>
        </patternFill>
      </fill>
    </dxf>
    <dxf>
      <font>
        <color auto="1"/>
      </font>
      <fill>
        <patternFill>
          <bgColor rgb="FFFFFFCC"/>
        </patternFill>
      </fill>
    </dxf>
    <dxf>
      <font>
        <color auto="1"/>
      </font>
      <fill>
        <patternFill>
          <bgColor theme="6" tint="0.59996337778862885"/>
        </patternFill>
      </fill>
    </dxf>
    <dxf>
      <font>
        <color auto="1"/>
      </font>
      <fill>
        <patternFill>
          <bgColor rgb="FFFFFFCC"/>
        </patternFill>
      </fill>
    </dxf>
    <dxf>
      <font>
        <color auto="1"/>
      </font>
      <fill>
        <patternFill>
          <bgColor theme="6" tint="0.59996337778862885"/>
        </patternFill>
      </fill>
    </dxf>
    <dxf>
      <font>
        <color auto="1"/>
      </font>
      <fill>
        <patternFill>
          <bgColor theme="6" tint="0.59996337778862885"/>
        </patternFill>
      </fill>
    </dxf>
    <dxf>
      <font>
        <color auto="1"/>
      </font>
      <fill>
        <patternFill>
          <bgColor rgb="FFFFFFCC"/>
        </patternFill>
      </fill>
    </dxf>
    <dxf>
      <font>
        <color theme="0"/>
      </font>
    </dxf>
    <dxf>
      <font>
        <color auto="1"/>
      </font>
      <fill>
        <patternFill>
          <bgColor theme="6" tint="0.59996337778862885"/>
        </patternFill>
      </fill>
    </dxf>
    <dxf>
      <font>
        <color auto="1"/>
      </font>
      <fill>
        <patternFill>
          <bgColor theme="6" tint="0.59996337778862885"/>
        </patternFill>
      </fill>
    </dxf>
    <dxf>
      <font>
        <color auto="1"/>
      </font>
      <fill>
        <patternFill>
          <bgColor theme="6" tint="0.59996337778862885"/>
        </patternFill>
      </fill>
    </dxf>
    <dxf>
      <font>
        <color auto="1"/>
      </font>
      <fill>
        <patternFill>
          <bgColor rgb="FFFFFFCC"/>
        </patternFill>
      </fill>
    </dxf>
    <dxf>
      <font>
        <color rgb="FF00A44A"/>
      </font>
    </dxf>
    <dxf>
      <font>
        <color rgb="FF00A44A"/>
      </font>
    </dxf>
    <dxf>
      <font>
        <color rgb="FF9C0006"/>
      </font>
    </dxf>
    <dxf>
      <font>
        <color rgb="FF00A44A"/>
      </font>
    </dxf>
    <dxf>
      <font>
        <color rgb="FF9C0006"/>
      </font>
    </dxf>
    <dxf>
      <font>
        <color rgb="FF00A44A"/>
      </font>
    </dxf>
    <dxf>
      <font>
        <color rgb="FF9C0006"/>
      </font>
    </dxf>
    <dxf>
      <font>
        <color rgb="FF9C0006"/>
      </font>
    </dxf>
    <dxf>
      <font>
        <color rgb="FF00A44A"/>
      </font>
    </dxf>
    <dxf>
      <font>
        <color rgb="FF00A44A"/>
      </font>
    </dxf>
    <dxf>
      <font>
        <color rgb="FF9C0006"/>
      </font>
    </dxf>
    <dxf>
      <font>
        <color rgb="FF00A44A"/>
      </font>
    </dxf>
    <dxf>
      <font>
        <color rgb="FF9C0006"/>
      </font>
    </dxf>
    <dxf>
      <font>
        <color rgb="FF00A44A"/>
      </font>
    </dxf>
    <dxf>
      <font>
        <color rgb="FF9C0006"/>
      </font>
    </dxf>
    <dxf>
      <font>
        <color rgb="FF9C0006"/>
      </font>
    </dxf>
    <dxf>
      <font>
        <color rgb="FF00A44A"/>
      </font>
    </dxf>
    <dxf>
      <font>
        <color rgb="FF00A44A"/>
      </font>
    </dxf>
    <dxf>
      <font>
        <color rgb="FF9C0006"/>
      </font>
    </dxf>
    <dxf>
      <font>
        <color rgb="FF9C0006"/>
      </font>
    </dxf>
    <dxf>
      <font>
        <color rgb="FF00A44A"/>
      </font>
    </dxf>
    <dxf>
      <font>
        <color rgb="FF9C0006"/>
      </font>
    </dxf>
    <dxf>
      <font>
        <color rgb="FF00A44A"/>
      </font>
    </dxf>
    <dxf>
      <font>
        <color rgb="FF00A44A"/>
      </font>
    </dxf>
    <dxf>
      <font>
        <color rgb="FF9C0006"/>
      </font>
    </dxf>
    <dxf>
      <font>
        <color rgb="FF9C0006"/>
      </font>
    </dxf>
    <dxf>
      <font>
        <color rgb="FF00A44A"/>
      </font>
    </dxf>
    <dxf>
      <font>
        <b/>
        <i val="0"/>
        <color theme="6" tint="-0.499984740745262"/>
      </font>
      <fill>
        <patternFill>
          <bgColor theme="6" tint="0.59996337778862885"/>
        </patternFill>
      </fill>
    </dxf>
    <dxf>
      <font>
        <b/>
        <i val="0"/>
        <color theme="5" tint="-0.24994659260841701"/>
      </font>
      <fill>
        <patternFill>
          <bgColor theme="5" tint="0.59996337778862885"/>
        </patternFill>
      </fill>
    </dxf>
    <dxf>
      <font>
        <b/>
        <i val="0"/>
        <color theme="6" tint="-0.499984740745262"/>
      </font>
      <fill>
        <patternFill>
          <bgColor theme="6" tint="0.59996337778862885"/>
        </patternFill>
      </fill>
    </dxf>
    <dxf>
      <font>
        <b/>
        <i val="0"/>
        <color theme="5" tint="-0.24994659260841701"/>
      </font>
      <fill>
        <patternFill>
          <bgColor theme="5" tint="0.59996337778862885"/>
        </patternFill>
      </fill>
    </dxf>
    <dxf>
      <font>
        <b/>
        <i val="0"/>
        <color theme="6" tint="-0.499984740745262"/>
      </font>
      <fill>
        <patternFill>
          <bgColor theme="6" tint="0.59996337778862885"/>
        </patternFill>
      </fill>
    </dxf>
    <dxf>
      <font>
        <b/>
        <i val="0"/>
        <color theme="5" tint="-0.24994659260841701"/>
      </font>
      <fill>
        <patternFill>
          <bgColor theme="5" tint="0.59996337778862885"/>
        </patternFill>
      </fill>
    </dxf>
    <dxf>
      <font>
        <b/>
        <i val="0"/>
        <color theme="6" tint="-0.499984740745262"/>
      </font>
    </dxf>
    <dxf>
      <font>
        <b/>
        <i val="0"/>
        <color theme="5" tint="-0.24994659260841701"/>
      </font>
    </dxf>
    <dxf>
      <font>
        <b/>
        <i val="0"/>
        <color theme="6" tint="-0.499984740745262"/>
      </font>
    </dxf>
    <dxf>
      <font>
        <b/>
        <i val="0"/>
        <color theme="5" tint="-0.24994659260841701"/>
      </font>
    </dxf>
    <dxf>
      <font>
        <color auto="1"/>
      </font>
      <fill>
        <patternFill>
          <bgColor theme="6" tint="0.59996337778862885"/>
        </patternFill>
      </fill>
    </dxf>
    <dxf>
      <font>
        <color auto="1"/>
      </font>
      <fill>
        <patternFill>
          <bgColor rgb="FFFFFFCC"/>
        </patternFill>
      </fill>
    </dxf>
    <dxf>
      <font>
        <color auto="1"/>
      </font>
      <fill>
        <patternFill>
          <bgColor theme="6" tint="0.59996337778862885"/>
        </patternFill>
      </fill>
    </dxf>
    <dxf>
      <font>
        <color auto="1"/>
      </font>
      <fill>
        <patternFill>
          <bgColor rgb="FFFFFFCC"/>
        </patternFill>
      </fill>
    </dxf>
    <dxf>
      <font>
        <color rgb="FFFF0000"/>
      </font>
    </dxf>
    <dxf>
      <font>
        <color rgb="FFFF0000"/>
      </font>
    </dxf>
    <dxf>
      <font>
        <color rgb="FFFF0000"/>
      </font>
    </dxf>
    <dxf>
      <font>
        <color auto="1"/>
      </font>
      <fill>
        <patternFill>
          <bgColor theme="6" tint="0.59996337778862885"/>
        </patternFill>
      </fill>
    </dxf>
    <dxf>
      <font>
        <color auto="1"/>
      </font>
      <fill>
        <patternFill>
          <bgColor theme="6" tint="0.59996337778862885"/>
        </patternFill>
      </fill>
    </dxf>
    <dxf>
      <font>
        <color auto="1"/>
      </font>
      <fill>
        <patternFill>
          <bgColor theme="6" tint="0.59996337778862885"/>
        </patternFill>
      </fill>
    </dxf>
    <dxf>
      <font>
        <color auto="1"/>
      </font>
      <fill>
        <patternFill>
          <bgColor rgb="FFFFFFCC"/>
        </patternFill>
      </fill>
    </dxf>
    <dxf>
      <font>
        <color rgb="FFFF0000"/>
      </font>
    </dxf>
    <dxf>
      <font>
        <color rgb="FFFF0000"/>
      </font>
    </dxf>
    <dxf>
      <font>
        <color theme="0"/>
      </font>
    </dxf>
    <dxf>
      <font>
        <color auto="1"/>
      </font>
      <fill>
        <patternFill>
          <bgColor theme="6" tint="0.59996337778862885"/>
        </patternFill>
      </fill>
    </dxf>
    <dxf>
      <font>
        <color auto="1"/>
      </font>
      <fill>
        <patternFill>
          <bgColor theme="6" tint="0.59996337778862885"/>
        </patternFill>
      </fill>
    </dxf>
    <dxf>
      <font>
        <color auto="1"/>
      </font>
      <fill>
        <patternFill>
          <bgColor theme="6" tint="0.59996337778862885"/>
        </patternFill>
      </fill>
    </dxf>
    <dxf>
      <font>
        <color auto="1"/>
      </font>
      <fill>
        <patternFill>
          <bgColor rgb="FFFFFFCC"/>
        </patternFill>
      </fill>
    </dxf>
    <dxf>
      <font>
        <b/>
        <i/>
        <color rgb="FF0070C0"/>
      </font>
    </dxf>
    <dxf>
      <font>
        <b/>
        <i/>
        <color rgb="FF0070C0"/>
      </font>
    </dxf>
    <dxf>
      <font>
        <b/>
        <i/>
        <color rgb="FF0070C0"/>
      </font>
    </dxf>
    <dxf>
      <font>
        <color theme="0" tint="-0.499984740745262"/>
      </font>
    </dxf>
    <dxf>
      <font>
        <b/>
        <i val="0"/>
        <color rgb="FFC80000"/>
      </font>
    </dxf>
    <dxf>
      <font>
        <color theme="0" tint="-0.499984740745262"/>
      </font>
    </dxf>
    <dxf>
      <font>
        <b/>
        <i val="0"/>
        <color rgb="FFC80000"/>
      </font>
    </dxf>
  </dxfs>
  <tableStyles count="0" defaultTableStyle="TableStyleMedium9" defaultPivotStyle="PivotStyleLight16"/>
  <colors>
    <mruColors>
      <color rgb="FF00A44A"/>
      <color rgb="FF0066CC"/>
      <color rgb="FF000066"/>
      <color rgb="FFABD5FF"/>
      <color rgb="FFFFFF66"/>
      <color rgb="FFFF33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externalLink" Target="externalLinks/externalLink1.xml"/><Relationship Id="rId3" Type="http://schemas.openxmlformats.org/officeDocument/2006/relationships/worksheet" Target="worksheets/sheet2.xml"/><Relationship Id="rId21" Type="http://schemas.openxmlformats.org/officeDocument/2006/relationships/worksheet" Target="worksheets/sheet19.xml"/><Relationship Id="rId7" Type="http://schemas.openxmlformats.org/officeDocument/2006/relationships/worksheet" Target="worksheets/sheet6.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microsoft.com/office/2006/relationships/vbaProject" Target="vbaProject.bin"/><Relationship Id="rId2" Type="http://schemas.openxmlformats.org/officeDocument/2006/relationships/chartsheet" Target="chartsheets/sheet1.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calcChain" Target="calcChain.xml"/><Relationship Id="rId5" Type="http://schemas.openxmlformats.org/officeDocument/2006/relationships/worksheet" Target="worksheets/sheet4.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externalLink" Target="externalLinks/externalLink3.xml"/><Relationship Id="rId10" Type="http://schemas.openxmlformats.org/officeDocument/2006/relationships/chartsheet" Target="chartsheets/sheet2.xml"/><Relationship Id="rId19" Type="http://schemas.openxmlformats.org/officeDocument/2006/relationships/worksheet" Target="worksheets/sheet17.xml"/><Relationship Id="rId31"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externalLink" Target="externalLinks/externalLink2.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Omsetning +</a:t>
            </a:r>
            <a:r>
              <a:rPr lang="nb-NO" baseline="0"/>
              <a:t> Brutto</a:t>
            </a:r>
            <a:endParaRPr lang="nb-NO"/>
          </a:p>
        </c:rich>
      </c:tx>
      <c:overlay val="0"/>
    </c:title>
    <c:autoTitleDeleted val="0"/>
    <c:plotArea>
      <c:layout/>
      <c:lineChart>
        <c:grouping val="standard"/>
        <c:varyColors val="0"/>
        <c:ser>
          <c:idx val="0"/>
          <c:order val="0"/>
          <c:tx>
            <c:v>Realisert oms</c:v>
          </c:tx>
          <c:marker>
            <c:symbol val="none"/>
          </c:marker>
          <c:cat>
            <c:numRef>
              <c:f>'Min Butikk'!$A$8:$A$60</c:f>
              <c:numCache>
                <c:formatCode>General</c:formatCode>
                <c:ptCount val="53"/>
              </c:numCache>
            </c:numRef>
          </c:cat>
          <c:val>
            <c:numRef>
              <c:f>'Min Butikk'!$E$8:$E$60</c:f>
              <c:numCache>
                <c:formatCode>_(* #\ ##0_);_(* \(#\ ##0\);_(* "-"??_);_(@_)</c:formatCode>
                <c:ptCount val="53"/>
              </c:numCache>
            </c:numRef>
          </c:val>
          <c:smooth val="0"/>
          <c:extLst>
            <c:ext xmlns:c16="http://schemas.microsoft.com/office/drawing/2014/chart" uri="{C3380CC4-5D6E-409C-BE32-E72D297353CC}">
              <c16:uniqueId val="{00000000-8F8E-4501-8A17-8BDE7E77235D}"/>
            </c:ext>
          </c:extLst>
        </c:ser>
        <c:ser>
          <c:idx val="1"/>
          <c:order val="1"/>
          <c:tx>
            <c:v>Budsjett oms</c:v>
          </c:tx>
          <c:marker>
            <c:symbol val="none"/>
          </c:marker>
          <c:cat>
            <c:numRef>
              <c:f>'Min Butikk'!$A$8:$A$60</c:f>
              <c:numCache>
                <c:formatCode>General</c:formatCode>
                <c:ptCount val="53"/>
              </c:numCache>
            </c:numRef>
          </c:cat>
          <c:val>
            <c:numRef>
              <c:f>'Min Butikk'!$D$8:$D$60</c:f>
              <c:numCache>
                <c:formatCode>_(* #\ ##0_);_(* \(#\ ##0\);_(* "-"??_);_(@_)</c:formatCode>
                <c:ptCount val="53"/>
              </c:numCache>
            </c:numRef>
          </c:val>
          <c:smooth val="0"/>
          <c:extLst>
            <c:ext xmlns:c16="http://schemas.microsoft.com/office/drawing/2014/chart" uri="{C3380CC4-5D6E-409C-BE32-E72D297353CC}">
              <c16:uniqueId val="{00000001-8F8E-4501-8A17-8BDE7E77235D}"/>
            </c:ext>
          </c:extLst>
        </c:ser>
        <c:dLbls>
          <c:showLegendKey val="0"/>
          <c:showVal val="0"/>
          <c:showCatName val="0"/>
          <c:showSerName val="0"/>
          <c:showPercent val="0"/>
          <c:showBubbleSize val="0"/>
        </c:dLbls>
        <c:marker val="1"/>
        <c:smooth val="0"/>
        <c:axId val="722928416"/>
        <c:axId val="722931160"/>
      </c:lineChart>
      <c:lineChart>
        <c:grouping val="standard"/>
        <c:varyColors val="0"/>
        <c:ser>
          <c:idx val="2"/>
          <c:order val="2"/>
          <c:tx>
            <c:v>Realisert Brutto</c:v>
          </c:tx>
          <c:spPr>
            <a:ln w="15875">
              <a:solidFill>
                <a:srgbClr val="0070C0"/>
              </a:solidFill>
              <a:prstDash val="sysDash"/>
            </a:ln>
          </c:spPr>
          <c:marker>
            <c:symbol val="none"/>
          </c:marker>
          <c:val>
            <c:numRef>
              <c:f>'Min Butikk'!$Z$8:$Z$61</c:f>
              <c:numCache>
                <c:formatCode>0.0\ %</c:formatCode>
                <c:ptCount val="54"/>
              </c:numCache>
            </c:numRef>
          </c:val>
          <c:smooth val="0"/>
          <c:extLst>
            <c:ext xmlns:c16="http://schemas.microsoft.com/office/drawing/2014/chart" uri="{C3380CC4-5D6E-409C-BE32-E72D297353CC}">
              <c16:uniqueId val="{00000002-8F8E-4501-8A17-8BDE7E77235D}"/>
            </c:ext>
          </c:extLst>
        </c:ser>
        <c:ser>
          <c:idx val="3"/>
          <c:order val="3"/>
          <c:tx>
            <c:v>Budsjett Brutto</c:v>
          </c:tx>
          <c:spPr>
            <a:ln w="22225">
              <a:solidFill>
                <a:srgbClr val="C00000"/>
              </a:solidFill>
              <a:prstDash val="sysDash"/>
            </a:ln>
          </c:spPr>
          <c:marker>
            <c:symbol val="none"/>
          </c:marker>
          <c:val>
            <c:numRef>
              <c:f>'Min Butikk'!$Y$8:$Y$61</c:f>
              <c:numCache>
                <c:formatCode>#,##0</c:formatCode>
                <c:ptCount val="54"/>
              </c:numCache>
            </c:numRef>
          </c:val>
          <c:smooth val="0"/>
          <c:extLst>
            <c:ext xmlns:c16="http://schemas.microsoft.com/office/drawing/2014/chart" uri="{C3380CC4-5D6E-409C-BE32-E72D297353CC}">
              <c16:uniqueId val="{00000003-8F8E-4501-8A17-8BDE7E77235D}"/>
            </c:ext>
          </c:extLst>
        </c:ser>
        <c:dLbls>
          <c:showLegendKey val="0"/>
          <c:showVal val="0"/>
          <c:showCatName val="0"/>
          <c:showSerName val="0"/>
          <c:showPercent val="0"/>
          <c:showBubbleSize val="0"/>
        </c:dLbls>
        <c:marker val="1"/>
        <c:smooth val="0"/>
        <c:axId val="722924104"/>
        <c:axId val="722928808"/>
      </c:lineChart>
      <c:catAx>
        <c:axId val="722928416"/>
        <c:scaling>
          <c:orientation val="minMax"/>
        </c:scaling>
        <c:delete val="0"/>
        <c:axPos val="b"/>
        <c:numFmt formatCode="General" sourceLinked="1"/>
        <c:majorTickMark val="none"/>
        <c:minorTickMark val="none"/>
        <c:tickLblPos val="nextTo"/>
        <c:crossAx val="722931160"/>
        <c:crosses val="autoZero"/>
        <c:auto val="1"/>
        <c:lblAlgn val="ctr"/>
        <c:lblOffset val="100"/>
        <c:noMultiLvlLbl val="0"/>
      </c:catAx>
      <c:valAx>
        <c:axId val="722931160"/>
        <c:scaling>
          <c:orientation val="minMax"/>
        </c:scaling>
        <c:delete val="0"/>
        <c:axPos val="l"/>
        <c:majorGridlines/>
        <c:minorGridlines/>
        <c:numFmt formatCode="_(* #\ ##0_);_(* \(#\ ##0\);_(* &quot;-&quot;??_);_(@_)" sourceLinked="1"/>
        <c:majorTickMark val="none"/>
        <c:minorTickMark val="none"/>
        <c:tickLblPos val="nextTo"/>
        <c:spPr>
          <a:ln w="9525">
            <a:noFill/>
          </a:ln>
        </c:spPr>
        <c:crossAx val="722928416"/>
        <c:crosses val="autoZero"/>
        <c:crossBetween val="between"/>
        <c:minorUnit val="100000"/>
      </c:valAx>
      <c:valAx>
        <c:axId val="722928808"/>
        <c:scaling>
          <c:orientation val="minMax"/>
        </c:scaling>
        <c:delete val="0"/>
        <c:axPos val="r"/>
        <c:numFmt formatCode="0.0\ %" sourceLinked="1"/>
        <c:majorTickMark val="out"/>
        <c:minorTickMark val="none"/>
        <c:tickLblPos val="nextTo"/>
        <c:crossAx val="722924104"/>
        <c:crosses val="max"/>
        <c:crossBetween val="between"/>
      </c:valAx>
      <c:catAx>
        <c:axId val="722924104"/>
        <c:scaling>
          <c:orientation val="minMax"/>
        </c:scaling>
        <c:delete val="1"/>
        <c:axPos val="b"/>
        <c:majorTickMark val="out"/>
        <c:minorTickMark val="none"/>
        <c:tickLblPos val="none"/>
        <c:crossAx val="722928808"/>
        <c:crosses val="autoZero"/>
        <c:auto val="1"/>
        <c:lblAlgn val="ctr"/>
        <c:lblOffset val="100"/>
        <c:noMultiLvlLbl val="0"/>
      </c:catAx>
    </c:plotArea>
    <c:legend>
      <c:legendPos val="b"/>
      <c:overlay val="0"/>
    </c:legend>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1"/>
          <a:lstStyle/>
          <a:p>
            <a:pPr>
              <a:defRPr sz="1400"/>
            </a:pPr>
            <a:r>
              <a:rPr lang="nb-NO" sz="1400"/>
              <a:t>Salg</a:t>
            </a:r>
          </a:p>
        </c:rich>
      </c:tx>
      <c:layout>
        <c:manualLayout>
          <c:xMode val="edge"/>
          <c:yMode val="edge"/>
          <c:x val="0.45561650947477988"/>
          <c:y val="0"/>
        </c:manualLayout>
      </c:layout>
      <c:overlay val="1"/>
    </c:title>
    <c:autoTitleDeleted val="0"/>
    <c:plotArea>
      <c:layout>
        <c:manualLayout>
          <c:layoutTarget val="inner"/>
          <c:xMode val="edge"/>
          <c:yMode val="edge"/>
          <c:x val="9.8426927403305373E-2"/>
          <c:y val="8.8010461236935164E-2"/>
          <c:w val="0.88447905550267769"/>
          <c:h val="0.79713938849201516"/>
        </c:manualLayout>
      </c:layout>
      <c:lineChart>
        <c:grouping val="standard"/>
        <c:varyColors val="0"/>
        <c:ser>
          <c:idx val="0"/>
          <c:order val="0"/>
          <c:tx>
            <c:v>Budsjett</c:v>
          </c:tx>
          <c:spPr>
            <a:ln w="12700">
              <a:solidFill>
                <a:srgbClr val="C80000"/>
              </a:solidFill>
              <a:prstDash val="sysDash"/>
            </a:ln>
          </c:spPr>
          <c:marker>
            <c:symbol val="none"/>
          </c:marker>
          <c:cat>
            <c:numLit>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Lit>
          </c:cat>
          <c:val>
            <c:numRef>
              <c:f>'Min Butikk'!$D$8:$D$60</c:f>
              <c:numCache>
                <c:formatCode>_(* #\ ##0_);_(* \(#\ ##0\);_(* "-"??_);_(@_)</c:formatCode>
                <c:ptCount val="53"/>
              </c:numCache>
            </c:numRef>
          </c:val>
          <c:smooth val="1"/>
          <c:extLst>
            <c:ext xmlns:c16="http://schemas.microsoft.com/office/drawing/2014/chart" uri="{C3380CC4-5D6E-409C-BE32-E72D297353CC}">
              <c16:uniqueId val="{00000000-E2B4-4AC3-BE42-B2986F060CF1}"/>
            </c:ext>
          </c:extLst>
        </c:ser>
        <c:ser>
          <c:idx val="1"/>
          <c:order val="1"/>
          <c:tx>
            <c:v>Prestert</c:v>
          </c:tx>
          <c:spPr>
            <a:ln w="19050">
              <a:solidFill>
                <a:schemeClr val="accent1">
                  <a:lumMod val="50000"/>
                </a:schemeClr>
              </a:solidFill>
            </a:ln>
          </c:spPr>
          <c:marker>
            <c:symbol val="none"/>
          </c:marker>
          <c:val>
            <c:numRef>
              <c:f>'Min Butikk'!$E$8:$E$60</c:f>
              <c:numCache>
                <c:formatCode>_(* #\ ##0_);_(* \(#\ ##0\);_(* "-"??_);_(@_)</c:formatCode>
                <c:ptCount val="53"/>
              </c:numCache>
            </c:numRef>
          </c:val>
          <c:smooth val="1"/>
          <c:extLst>
            <c:ext xmlns:c16="http://schemas.microsoft.com/office/drawing/2014/chart" uri="{C3380CC4-5D6E-409C-BE32-E72D297353CC}">
              <c16:uniqueId val="{00000001-E2B4-4AC3-BE42-B2986F060CF1}"/>
            </c:ext>
          </c:extLst>
        </c:ser>
        <c:dLbls>
          <c:showLegendKey val="0"/>
          <c:showVal val="0"/>
          <c:showCatName val="0"/>
          <c:showSerName val="0"/>
          <c:showPercent val="0"/>
          <c:showBubbleSize val="0"/>
        </c:dLbls>
        <c:smooth val="0"/>
        <c:axId val="722929984"/>
        <c:axId val="722929592"/>
      </c:lineChart>
      <c:catAx>
        <c:axId val="722929984"/>
        <c:scaling>
          <c:orientation val="minMax"/>
        </c:scaling>
        <c:delete val="0"/>
        <c:axPos val="b"/>
        <c:numFmt formatCode="General" sourceLinked="1"/>
        <c:majorTickMark val="none"/>
        <c:minorTickMark val="none"/>
        <c:tickLblPos val="nextTo"/>
        <c:crossAx val="722929592"/>
        <c:crosses val="autoZero"/>
        <c:auto val="1"/>
        <c:lblAlgn val="ctr"/>
        <c:lblOffset val="100"/>
        <c:noMultiLvlLbl val="0"/>
      </c:catAx>
      <c:valAx>
        <c:axId val="722929592"/>
        <c:scaling>
          <c:orientation val="minMax"/>
        </c:scaling>
        <c:delete val="0"/>
        <c:axPos val="l"/>
        <c:numFmt formatCode="General" sourceLinked="0"/>
        <c:majorTickMark val="none"/>
        <c:minorTickMark val="none"/>
        <c:tickLblPos val="nextTo"/>
        <c:crossAx val="722929984"/>
        <c:crosses val="autoZero"/>
        <c:crossBetween val="between"/>
      </c:valAx>
    </c:plotArea>
    <c:legend>
      <c:legendPos val="b"/>
      <c:layout>
        <c:manualLayout>
          <c:xMode val="edge"/>
          <c:yMode val="edge"/>
          <c:x val="0.6778095045812037"/>
          <c:y val="1.9680358028969409E-2"/>
          <c:w val="0.32133329487661288"/>
          <c:h val="0.11462107664603779"/>
        </c:manualLayout>
      </c:layout>
      <c:overlay val="0"/>
    </c:legend>
    <c:plotVisOnly val="1"/>
    <c:dispBlanksAs val="gap"/>
    <c:showDLblsOverMax val="0"/>
  </c:chart>
  <c:txPr>
    <a:bodyPr/>
    <a:lstStyle/>
    <a:p>
      <a:pPr>
        <a:defRPr sz="700"/>
      </a:pPr>
      <a:endParaRPr lang="nb-NO"/>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nb-NO" sz="1400"/>
              <a:t>Lønn</a:t>
            </a:r>
          </a:p>
        </c:rich>
      </c:tx>
      <c:layout>
        <c:manualLayout>
          <c:xMode val="edge"/>
          <c:yMode val="edge"/>
          <c:x val="0.45009803921568631"/>
          <c:y val="8.6467790747946395E-3"/>
        </c:manualLayout>
      </c:layout>
      <c:overlay val="0"/>
    </c:title>
    <c:autoTitleDeleted val="0"/>
    <c:plotArea>
      <c:layout>
        <c:manualLayout>
          <c:layoutTarget val="inner"/>
          <c:xMode val="edge"/>
          <c:yMode val="edge"/>
          <c:x val="6.0045634920638732E-2"/>
          <c:y val="9.0896825396834691E-2"/>
          <c:w val="0.92425277777777759"/>
          <c:h val="0.87321643160363704"/>
        </c:manualLayout>
      </c:layout>
      <c:lineChart>
        <c:grouping val="standard"/>
        <c:varyColors val="0"/>
        <c:ser>
          <c:idx val="0"/>
          <c:order val="0"/>
          <c:tx>
            <c:v>Budsjett</c:v>
          </c:tx>
          <c:spPr>
            <a:ln w="6350">
              <a:solidFill>
                <a:srgbClr val="C80000"/>
              </a:solidFill>
              <a:prstDash val="sysDash"/>
            </a:ln>
          </c:spPr>
          <c:marker>
            <c:symbol val="none"/>
          </c:marker>
          <c:cat>
            <c:numLit>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Lit>
          </c:cat>
          <c:val>
            <c:numRef>
              <c:f>'Min Butikk'!$L$8:$L$60</c:f>
              <c:numCache>
                <c:formatCode>0.00%</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1"/>
          <c:extLst>
            <c:ext xmlns:c16="http://schemas.microsoft.com/office/drawing/2014/chart" uri="{C3380CC4-5D6E-409C-BE32-E72D297353CC}">
              <c16:uniqueId val="{00000000-DCE2-49DD-9D9B-D45C171D7D4B}"/>
            </c:ext>
          </c:extLst>
        </c:ser>
        <c:ser>
          <c:idx val="1"/>
          <c:order val="1"/>
          <c:tx>
            <c:v>Realisert</c:v>
          </c:tx>
          <c:spPr>
            <a:ln w="19050">
              <a:solidFill>
                <a:schemeClr val="accent1">
                  <a:lumMod val="50000"/>
                </a:schemeClr>
              </a:solidFill>
            </a:ln>
          </c:spPr>
          <c:marker>
            <c:symbol val="none"/>
          </c:marker>
          <c:cat>
            <c:numLit>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Lit>
          </c:cat>
          <c:val>
            <c:numRef>
              <c:f>'Min Butikk'!$O$8:$O$60</c:f>
              <c:numCache>
                <c:formatCode>0.00%</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1"/>
          <c:extLst>
            <c:ext xmlns:c16="http://schemas.microsoft.com/office/drawing/2014/chart" uri="{C3380CC4-5D6E-409C-BE32-E72D297353CC}">
              <c16:uniqueId val="{00000001-DCE2-49DD-9D9B-D45C171D7D4B}"/>
            </c:ext>
          </c:extLst>
        </c:ser>
        <c:dLbls>
          <c:showLegendKey val="0"/>
          <c:showVal val="0"/>
          <c:showCatName val="0"/>
          <c:showSerName val="0"/>
          <c:showPercent val="0"/>
          <c:showBubbleSize val="0"/>
        </c:dLbls>
        <c:smooth val="0"/>
        <c:axId val="722906072"/>
        <c:axId val="722911168"/>
      </c:lineChart>
      <c:catAx>
        <c:axId val="722906072"/>
        <c:scaling>
          <c:orientation val="minMax"/>
        </c:scaling>
        <c:delete val="0"/>
        <c:axPos val="t"/>
        <c:numFmt formatCode="General" sourceLinked="1"/>
        <c:majorTickMark val="none"/>
        <c:minorTickMark val="none"/>
        <c:tickLblPos val="nextTo"/>
        <c:txPr>
          <a:bodyPr/>
          <a:lstStyle/>
          <a:p>
            <a:pPr>
              <a:defRPr sz="700"/>
            </a:pPr>
            <a:endParaRPr lang="nb-NO"/>
          </a:p>
        </c:txPr>
        <c:crossAx val="722911168"/>
        <c:crosses val="autoZero"/>
        <c:auto val="1"/>
        <c:lblAlgn val="ctr"/>
        <c:lblOffset val="100"/>
        <c:tickLblSkip val="2"/>
        <c:noMultiLvlLbl val="0"/>
      </c:catAx>
      <c:valAx>
        <c:axId val="722911168"/>
        <c:scaling>
          <c:orientation val="maxMin"/>
        </c:scaling>
        <c:delete val="0"/>
        <c:axPos val="l"/>
        <c:numFmt formatCode="0%" sourceLinked="0"/>
        <c:majorTickMark val="none"/>
        <c:minorTickMark val="none"/>
        <c:tickLblPos val="nextTo"/>
        <c:txPr>
          <a:bodyPr/>
          <a:lstStyle/>
          <a:p>
            <a:pPr>
              <a:defRPr sz="700"/>
            </a:pPr>
            <a:endParaRPr lang="nb-NO"/>
          </a:p>
        </c:txPr>
        <c:crossAx val="722906072"/>
        <c:crosses val="autoZero"/>
        <c:crossBetween val="between"/>
      </c:valAx>
    </c:plotArea>
    <c:legend>
      <c:legendPos val="b"/>
      <c:layout>
        <c:manualLayout>
          <c:xMode val="edge"/>
          <c:yMode val="edge"/>
          <c:x val="0.66918635170603658"/>
          <c:y val="1.8941212115022608E-2"/>
          <c:w val="0.32829396325461607"/>
          <c:h val="0.12502765948030814"/>
        </c:manualLayout>
      </c:layout>
      <c:overlay val="0"/>
      <c:txPr>
        <a:bodyPr/>
        <a:lstStyle/>
        <a:p>
          <a:pPr>
            <a:defRPr sz="700"/>
          </a:pPr>
          <a:endParaRPr lang="nb-NO"/>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nb-NO" sz="1400"/>
              <a:t>Svinn</a:t>
            </a:r>
          </a:p>
        </c:rich>
      </c:tx>
      <c:layout>
        <c:manualLayout>
          <c:xMode val="edge"/>
          <c:yMode val="edge"/>
          <c:x val="0.45431269996362489"/>
          <c:y val="0"/>
        </c:manualLayout>
      </c:layout>
      <c:overlay val="0"/>
      <c:spPr>
        <a:scene3d>
          <a:camera prst="orthographicFront"/>
          <a:lightRig rig="threePt" dir="t"/>
        </a:scene3d>
        <a:sp3d>
          <a:bevelT prst="relaxedInset"/>
        </a:sp3d>
      </c:spPr>
    </c:title>
    <c:autoTitleDeleted val="0"/>
    <c:plotArea>
      <c:layout>
        <c:manualLayout>
          <c:layoutTarget val="inner"/>
          <c:xMode val="edge"/>
          <c:yMode val="edge"/>
          <c:x val="5.6366071428572133E-2"/>
          <c:y val="5.0475762489986475E-2"/>
          <c:w val="0.91373849206353375"/>
          <c:h val="0.89904847502002694"/>
        </c:manualLayout>
      </c:layout>
      <c:lineChart>
        <c:grouping val="standard"/>
        <c:varyColors val="0"/>
        <c:ser>
          <c:idx val="0"/>
          <c:order val="0"/>
          <c:tx>
            <c:v>Budsjett</c:v>
          </c:tx>
          <c:spPr>
            <a:ln w="6350">
              <a:solidFill>
                <a:srgbClr val="C80000"/>
              </a:solidFill>
              <a:prstDash val="sysDash"/>
            </a:ln>
          </c:spPr>
          <c:marker>
            <c:symbol val="none"/>
          </c:marker>
          <c:cat>
            <c:numLit>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Lit>
          </c:cat>
          <c:val>
            <c:numRef>
              <c:f>'Min Butikk'!$U$8:$U$60</c:f>
              <c:numCache>
                <c:formatCode>0.00%</c:formatCode>
                <c:ptCount val="53"/>
              </c:numCache>
            </c:numRef>
          </c:val>
          <c:smooth val="1"/>
          <c:extLst>
            <c:ext xmlns:c16="http://schemas.microsoft.com/office/drawing/2014/chart" uri="{C3380CC4-5D6E-409C-BE32-E72D297353CC}">
              <c16:uniqueId val="{00000000-5A77-440F-84A3-067D4A5F8797}"/>
            </c:ext>
          </c:extLst>
        </c:ser>
        <c:ser>
          <c:idx val="1"/>
          <c:order val="1"/>
          <c:tx>
            <c:v>Realisert</c:v>
          </c:tx>
          <c:spPr>
            <a:ln w="19050">
              <a:solidFill>
                <a:schemeClr val="accent1">
                  <a:lumMod val="50000"/>
                </a:schemeClr>
              </a:solidFill>
            </a:ln>
          </c:spPr>
          <c:marker>
            <c:symbol val="none"/>
          </c:marker>
          <c:cat>
            <c:numLit>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Lit>
          </c:cat>
          <c:val>
            <c:numRef>
              <c:f>'Min Butikk'!$W$8:$W$60</c:f>
              <c:numCache>
                <c:formatCode>0.00%</c:formatCode>
                <c:ptCount val="53"/>
              </c:numCache>
            </c:numRef>
          </c:val>
          <c:smooth val="1"/>
          <c:extLst>
            <c:ext xmlns:c16="http://schemas.microsoft.com/office/drawing/2014/chart" uri="{C3380CC4-5D6E-409C-BE32-E72D297353CC}">
              <c16:uniqueId val="{00000001-5A77-440F-84A3-067D4A5F8797}"/>
            </c:ext>
          </c:extLst>
        </c:ser>
        <c:dLbls>
          <c:showLegendKey val="0"/>
          <c:showVal val="0"/>
          <c:showCatName val="0"/>
          <c:showSerName val="0"/>
          <c:showPercent val="0"/>
          <c:showBubbleSize val="0"/>
        </c:dLbls>
        <c:smooth val="0"/>
        <c:axId val="722902152"/>
        <c:axId val="494804816"/>
      </c:lineChart>
      <c:catAx>
        <c:axId val="722902152"/>
        <c:scaling>
          <c:orientation val="minMax"/>
        </c:scaling>
        <c:delete val="0"/>
        <c:axPos val="t"/>
        <c:numFmt formatCode="General" sourceLinked="1"/>
        <c:majorTickMark val="none"/>
        <c:minorTickMark val="none"/>
        <c:tickLblPos val="nextTo"/>
        <c:txPr>
          <a:bodyPr/>
          <a:lstStyle/>
          <a:p>
            <a:pPr>
              <a:defRPr sz="700"/>
            </a:pPr>
            <a:endParaRPr lang="nb-NO"/>
          </a:p>
        </c:txPr>
        <c:crossAx val="494804816"/>
        <c:crosses val="autoZero"/>
        <c:auto val="1"/>
        <c:lblAlgn val="ctr"/>
        <c:lblOffset val="100"/>
        <c:noMultiLvlLbl val="0"/>
      </c:catAx>
      <c:valAx>
        <c:axId val="494804816"/>
        <c:scaling>
          <c:orientation val="maxMin"/>
        </c:scaling>
        <c:delete val="0"/>
        <c:axPos val="l"/>
        <c:numFmt formatCode="0%" sourceLinked="0"/>
        <c:majorTickMark val="none"/>
        <c:minorTickMark val="none"/>
        <c:tickLblPos val="nextTo"/>
        <c:txPr>
          <a:bodyPr/>
          <a:lstStyle/>
          <a:p>
            <a:pPr>
              <a:defRPr sz="700"/>
            </a:pPr>
            <a:endParaRPr lang="nb-NO"/>
          </a:p>
        </c:txPr>
        <c:crossAx val="722902152"/>
        <c:crosses val="autoZero"/>
        <c:crossBetween val="between"/>
      </c:valAx>
    </c:plotArea>
    <c:legend>
      <c:legendPos val="b"/>
      <c:layout>
        <c:manualLayout>
          <c:xMode val="edge"/>
          <c:yMode val="edge"/>
          <c:x val="0.67333314175142756"/>
          <c:y val="6.7583673628887134E-3"/>
          <c:w val="0.32589765695347739"/>
          <c:h val="0.11959841868401686"/>
        </c:manualLayout>
      </c:layout>
      <c:overlay val="0"/>
      <c:txPr>
        <a:bodyPr/>
        <a:lstStyle/>
        <a:p>
          <a:pPr>
            <a:defRPr sz="700"/>
          </a:pPr>
          <a:endParaRPr lang="nb-NO"/>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pPr>
            <a:r>
              <a:rPr lang="en-US" sz="1400" b="1"/>
              <a:t>Fortjeneste</a:t>
            </a:r>
          </a:p>
        </c:rich>
      </c:tx>
      <c:layout>
        <c:manualLayout>
          <c:xMode val="edge"/>
          <c:yMode val="edge"/>
          <c:x val="0.41738833104579603"/>
          <c:y val="0"/>
        </c:manualLayout>
      </c:layout>
      <c:overlay val="0"/>
    </c:title>
    <c:autoTitleDeleted val="0"/>
    <c:plotArea>
      <c:layout>
        <c:manualLayout>
          <c:layoutTarget val="inner"/>
          <c:xMode val="edge"/>
          <c:yMode val="edge"/>
          <c:x val="5.9836904761904813E-2"/>
          <c:y val="5.3390373447414013E-2"/>
          <c:w val="0.85460932539683065"/>
          <c:h val="0.77117958680361864"/>
        </c:manualLayout>
      </c:layout>
      <c:lineChart>
        <c:grouping val="standard"/>
        <c:varyColors val="0"/>
        <c:ser>
          <c:idx val="0"/>
          <c:order val="0"/>
          <c:tx>
            <c:v>Realisert</c:v>
          </c:tx>
          <c:spPr>
            <a:ln w="19050">
              <a:solidFill>
                <a:schemeClr val="accent1">
                  <a:lumMod val="50000"/>
                </a:schemeClr>
              </a:solidFill>
            </a:ln>
          </c:spPr>
          <c:marker>
            <c:symbol val="none"/>
          </c:marker>
          <c:cat>
            <c:numLit>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Lit>
          </c:cat>
          <c:val>
            <c:numRef>
              <c:f>'Min Butikk'!$Z$8:$Z$60</c:f>
              <c:numCache>
                <c:formatCode>0.0\ %</c:formatCode>
                <c:ptCount val="53"/>
              </c:numCache>
            </c:numRef>
          </c:val>
          <c:smooth val="1"/>
          <c:extLst>
            <c:ext xmlns:c16="http://schemas.microsoft.com/office/drawing/2014/chart" uri="{C3380CC4-5D6E-409C-BE32-E72D297353CC}">
              <c16:uniqueId val="{00000000-A1D6-4949-9F8C-3A4F3D4853F5}"/>
            </c:ext>
          </c:extLst>
        </c:ser>
        <c:dLbls>
          <c:showLegendKey val="0"/>
          <c:showVal val="0"/>
          <c:showCatName val="0"/>
          <c:showSerName val="0"/>
          <c:showPercent val="0"/>
          <c:showBubbleSize val="0"/>
        </c:dLbls>
        <c:marker val="1"/>
        <c:smooth val="0"/>
        <c:axId val="494797760"/>
        <c:axId val="494802072"/>
      </c:lineChart>
      <c:lineChart>
        <c:grouping val="standard"/>
        <c:varyColors val="0"/>
        <c:ser>
          <c:idx val="1"/>
          <c:order val="1"/>
          <c:tx>
            <c:v>Realisert KR</c:v>
          </c:tx>
          <c:marker>
            <c:symbol val="none"/>
          </c:marker>
          <c:cat>
            <c:numRef>
              <c:f>'Min Butikk'!$A$8:$A$60</c:f>
              <c:numCache>
                <c:formatCode>General</c:formatCode>
                <c:ptCount val="53"/>
              </c:numCache>
            </c:numRef>
          </c:cat>
          <c:val>
            <c:numRef>
              <c:f>'Min Butikk'!$Y$8:$Y$61</c:f>
              <c:numCache>
                <c:formatCode>#,##0</c:formatCode>
                <c:ptCount val="54"/>
              </c:numCache>
            </c:numRef>
          </c:val>
          <c:smooth val="1"/>
          <c:extLst>
            <c:ext xmlns:c16="http://schemas.microsoft.com/office/drawing/2014/chart" uri="{C3380CC4-5D6E-409C-BE32-E72D297353CC}">
              <c16:uniqueId val="{00000001-A1D6-4949-9F8C-3A4F3D4853F5}"/>
            </c:ext>
          </c:extLst>
        </c:ser>
        <c:dLbls>
          <c:showLegendKey val="0"/>
          <c:showVal val="0"/>
          <c:showCatName val="0"/>
          <c:showSerName val="0"/>
          <c:showPercent val="0"/>
          <c:showBubbleSize val="0"/>
        </c:dLbls>
        <c:marker val="1"/>
        <c:smooth val="0"/>
        <c:axId val="494807560"/>
        <c:axId val="494805208"/>
      </c:lineChart>
      <c:catAx>
        <c:axId val="494797760"/>
        <c:scaling>
          <c:orientation val="minMax"/>
        </c:scaling>
        <c:delete val="0"/>
        <c:axPos val="b"/>
        <c:numFmt formatCode="General" sourceLinked="1"/>
        <c:majorTickMark val="none"/>
        <c:minorTickMark val="none"/>
        <c:tickLblPos val="nextTo"/>
        <c:txPr>
          <a:bodyPr/>
          <a:lstStyle/>
          <a:p>
            <a:pPr>
              <a:defRPr sz="700"/>
            </a:pPr>
            <a:endParaRPr lang="nb-NO"/>
          </a:p>
        </c:txPr>
        <c:crossAx val="494802072"/>
        <c:crosses val="autoZero"/>
        <c:auto val="1"/>
        <c:lblAlgn val="ctr"/>
        <c:lblOffset val="100"/>
        <c:noMultiLvlLbl val="0"/>
      </c:catAx>
      <c:valAx>
        <c:axId val="494802072"/>
        <c:scaling>
          <c:orientation val="minMax"/>
        </c:scaling>
        <c:delete val="0"/>
        <c:axPos val="l"/>
        <c:numFmt formatCode="0%" sourceLinked="0"/>
        <c:majorTickMark val="cross"/>
        <c:minorTickMark val="cross"/>
        <c:tickLblPos val="nextTo"/>
        <c:txPr>
          <a:bodyPr/>
          <a:lstStyle/>
          <a:p>
            <a:pPr>
              <a:defRPr sz="700"/>
            </a:pPr>
            <a:endParaRPr lang="nb-NO"/>
          </a:p>
        </c:txPr>
        <c:crossAx val="494797760"/>
        <c:crosses val="autoZero"/>
        <c:crossBetween val="between"/>
      </c:valAx>
      <c:valAx>
        <c:axId val="494805208"/>
        <c:scaling>
          <c:orientation val="minMax"/>
        </c:scaling>
        <c:delete val="0"/>
        <c:axPos val="r"/>
        <c:numFmt formatCode="#,##0" sourceLinked="0"/>
        <c:majorTickMark val="out"/>
        <c:minorTickMark val="in"/>
        <c:tickLblPos val="nextTo"/>
        <c:txPr>
          <a:bodyPr/>
          <a:lstStyle/>
          <a:p>
            <a:pPr>
              <a:defRPr sz="700"/>
            </a:pPr>
            <a:endParaRPr lang="nb-NO"/>
          </a:p>
        </c:txPr>
        <c:crossAx val="494807560"/>
        <c:crosses val="max"/>
        <c:crossBetween val="between"/>
      </c:valAx>
      <c:catAx>
        <c:axId val="494807560"/>
        <c:scaling>
          <c:orientation val="minMax"/>
        </c:scaling>
        <c:delete val="1"/>
        <c:axPos val="b"/>
        <c:numFmt formatCode="General" sourceLinked="1"/>
        <c:majorTickMark val="out"/>
        <c:minorTickMark val="none"/>
        <c:tickLblPos val="none"/>
        <c:crossAx val="494805208"/>
        <c:crosses val="autoZero"/>
        <c:auto val="1"/>
        <c:lblAlgn val="ctr"/>
        <c:lblOffset val="100"/>
        <c:noMultiLvlLbl val="0"/>
      </c:catAx>
    </c:plotArea>
    <c:legend>
      <c:legendPos val="b"/>
      <c:layout>
        <c:manualLayout>
          <c:xMode val="edge"/>
          <c:yMode val="edge"/>
          <c:x val="7.9924981021984823E-2"/>
          <c:y val="1.939682068043462E-2"/>
          <c:w val="0.32284298111131465"/>
          <c:h val="0.12125323957146866"/>
        </c:manualLayout>
      </c:layout>
      <c:overlay val="0"/>
      <c:txPr>
        <a:bodyPr/>
        <a:lstStyle/>
        <a:p>
          <a:pPr>
            <a:defRPr sz="700"/>
          </a:pPr>
          <a:endParaRPr lang="nb-NO"/>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nb-NO"/>
              <a:t>Total omsetning</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nb-NO"/>
        </a:p>
      </c:txPr>
    </c:title>
    <c:autoTitleDeleted val="0"/>
    <c:plotArea>
      <c:layout>
        <c:manualLayout>
          <c:layoutTarget val="inner"/>
          <c:xMode val="edge"/>
          <c:yMode val="edge"/>
          <c:x val="0.10225865451029148"/>
          <c:y val="2.6000699912510947E-2"/>
          <c:w val="0.88230274899848049"/>
          <c:h val="0.8708958880139982"/>
        </c:manualLayout>
      </c:layout>
      <c:lineChart>
        <c:grouping val="standard"/>
        <c:varyColors val="0"/>
        <c:ser>
          <c:idx val="0"/>
          <c:order val="0"/>
          <c:tx>
            <c:v>Budsjett</c:v>
          </c:tx>
          <c:spPr>
            <a:ln w="19050" cap="flat" cmpd="sng" algn="ctr">
              <a:solidFill>
                <a:schemeClr val="bg1">
                  <a:lumMod val="50000"/>
                </a:schemeClr>
              </a:solidFill>
              <a:prstDash val="sysDash"/>
              <a:miter lim="800000"/>
            </a:ln>
            <a:effectLst/>
          </c:spPr>
          <c:marker>
            <c:symbol val="none"/>
          </c:marker>
          <c:cat>
            <c:numRef>
              <c:f>'Mitt Salg'!$A$8:$A$61</c:f>
              <c:numCache>
                <c:formatCode>General</c:formatCode>
                <c:ptCount val="54"/>
              </c:numCache>
            </c:numRef>
          </c:cat>
          <c:val>
            <c:numRef>
              <c:f>'Mitt Salg'!$D$8:$D$61</c:f>
              <c:numCache>
                <c:formatCode>_(* #\ ##0_);_(* \(#\ ##0\);_(* "-"??_);_(@_)</c:formatCode>
                <c:ptCount val="54"/>
              </c:numCache>
            </c:numRef>
          </c:val>
          <c:smooth val="1"/>
          <c:extLst>
            <c:ext xmlns:c16="http://schemas.microsoft.com/office/drawing/2014/chart" uri="{C3380CC4-5D6E-409C-BE32-E72D297353CC}">
              <c16:uniqueId val="{00000000-61E3-45A6-AD10-10C9B0A2E6AC}"/>
            </c:ext>
          </c:extLst>
        </c:ser>
        <c:ser>
          <c:idx val="1"/>
          <c:order val="1"/>
          <c:tx>
            <c:v>Realisert</c:v>
          </c:tx>
          <c:spPr>
            <a:ln w="25400" cap="flat" cmpd="sng" algn="ctr">
              <a:solidFill>
                <a:schemeClr val="accent1">
                  <a:lumMod val="75000"/>
                </a:schemeClr>
              </a:solidFill>
              <a:miter lim="800000"/>
            </a:ln>
            <a:effectLst/>
          </c:spPr>
          <c:marker>
            <c:symbol val="none"/>
          </c:marker>
          <c:cat>
            <c:numRef>
              <c:f>'Mitt Salg'!$A$8:$A$61</c:f>
              <c:numCache>
                <c:formatCode>General</c:formatCode>
                <c:ptCount val="54"/>
              </c:numCache>
            </c:numRef>
          </c:cat>
          <c:val>
            <c:numRef>
              <c:f>'Mitt Salg'!$E$8:$E$61</c:f>
              <c:numCache>
                <c:formatCode>_(* #\ ##0_);_(* \(#\ ##0\);_(* "-"??_);_(@_)</c:formatCode>
                <c:ptCount val="54"/>
              </c:numCache>
            </c:numRef>
          </c:val>
          <c:smooth val="1"/>
          <c:extLst>
            <c:ext xmlns:c16="http://schemas.microsoft.com/office/drawing/2014/chart" uri="{C3380CC4-5D6E-409C-BE32-E72D297353CC}">
              <c16:uniqueId val="{00000001-61E3-45A6-AD10-10C9B0A2E6AC}"/>
            </c:ext>
          </c:extLst>
        </c:ser>
        <c:ser>
          <c:idx val="2"/>
          <c:order val="2"/>
          <c:tx>
            <c:v>Fjorår</c:v>
          </c:tx>
          <c:spPr>
            <a:ln w="31750" cap="flat" cmpd="sng" algn="ctr">
              <a:solidFill>
                <a:schemeClr val="dk1">
                  <a:tint val="75000"/>
                </a:schemeClr>
              </a:solidFill>
              <a:miter lim="800000"/>
            </a:ln>
            <a:effectLst/>
          </c:spPr>
          <c:marker>
            <c:symbol val="none"/>
          </c:marker>
          <c:cat>
            <c:numRef>
              <c:f>'Mitt Salg'!$A$8:$A$61</c:f>
              <c:numCache>
                <c:formatCode>General</c:formatCode>
                <c:ptCount val="54"/>
              </c:numCache>
            </c:numRef>
          </c:cat>
          <c:val>
            <c:numRef>
              <c:f>'Mitt Salg'!$F$8:$F$61</c:f>
              <c:numCache>
                <c:formatCode>_(* #\ ##0_);_(* \(#\ ##0\);_(* "-"??_);_(@_)</c:formatCode>
                <c:ptCount val="54"/>
              </c:numCache>
            </c:numRef>
          </c:val>
          <c:smooth val="1"/>
          <c:extLst>
            <c:ext xmlns:c16="http://schemas.microsoft.com/office/drawing/2014/chart" uri="{C3380CC4-5D6E-409C-BE32-E72D297353CC}">
              <c16:uniqueId val="{00000002-61E3-45A6-AD10-10C9B0A2E6AC}"/>
            </c:ext>
          </c:extLst>
        </c:ser>
        <c:dLbls>
          <c:showLegendKey val="0"/>
          <c:showVal val="0"/>
          <c:showCatName val="0"/>
          <c:showSerName val="0"/>
          <c:showPercent val="0"/>
          <c:showBubbleSize val="0"/>
        </c:dLbls>
        <c:smooth val="0"/>
        <c:axId val="494783256"/>
        <c:axId val="494791488"/>
      </c:lineChart>
      <c:catAx>
        <c:axId val="494783256"/>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1488"/>
        <c:crosses val="autoZero"/>
        <c:auto val="1"/>
        <c:lblAlgn val="ctr"/>
        <c:lblOffset val="100"/>
        <c:noMultiLvlLbl val="0"/>
      </c:catAx>
      <c:valAx>
        <c:axId val="494791488"/>
        <c:scaling>
          <c:orientation val="minMax"/>
        </c:scaling>
        <c:delete val="0"/>
        <c:axPos val="l"/>
        <c:majorGridlines>
          <c:spPr>
            <a:ln w="9525" cap="flat" cmpd="sng" algn="ctr">
              <a:solidFill>
                <a:schemeClr val="tx1">
                  <a:lumMod val="15000"/>
                  <a:lumOff val="85000"/>
                  <a:alpha val="32000"/>
                </a:schemeClr>
              </a:solidFill>
              <a:round/>
            </a:ln>
            <a:effectLst/>
          </c:spPr>
        </c:majorGridlines>
        <c:title>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nb-NO"/>
            </a:p>
          </c:txPr>
        </c:title>
        <c:numFmt formatCode="_(* #\ ##0_);_(* \(#\ ##0\);_(*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3256"/>
        <c:crosses val="autoZero"/>
        <c:crossBetween val="between"/>
      </c:valAx>
      <c:spPr>
        <a:noFill/>
        <a:ln>
          <a:noFill/>
        </a:ln>
        <a:effectLst/>
      </c:spPr>
    </c:plotArea>
    <c:legend>
      <c:legendPos val="t"/>
      <c:layout>
        <c:manualLayout>
          <c:xMode val="edge"/>
          <c:yMode val="edge"/>
          <c:x val="0.72782417460975279"/>
          <c:y val="3.9889063867016621E-2"/>
          <c:w val="0.27217582342039909"/>
          <c:h val="7.48342266529322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nb-NO"/>
              <a:t>grunnsalg</a:t>
            </a:r>
            <a:r>
              <a:rPr lang="nb-NO" baseline="0"/>
              <a:t> (salg eks tilbud)</a:t>
            </a:r>
            <a:endParaRPr lang="nb-NO"/>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nb-NO"/>
        </a:p>
      </c:txPr>
    </c:title>
    <c:autoTitleDeleted val="0"/>
    <c:plotArea>
      <c:layout>
        <c:manualLayout>
          <c:layoutTarget val="inner"/>
          <c:xMode val="edge"/>
          <c:yMode val="edge"/>
          <c:x val="0.1023664086246332"/>
          <c:y val="3.9531684752426223E-2"/>
          <c:w val="0.88217872660543351"/>
          <c:h val="0.91133376219087348"/>
        </c:manualLayout>
      </c:layout>
      <c:lineChart>
        <c:grouping val="standard"/>
        <c:varyColors val="0"/>
        <c:ser>
          <c:idx val="0"/>
          <c:order val="0"/>
          <c:tx>
            <c:v>Realisert</c:v>
          </c:tx>
          <c:spPr>
            <a:ln w="31750" cap="flat" cmpd="sng" algn="ctr">
              <a:solidFill>
                <a:schemeClr val="accent1"/>
              </a:solidFill>
              <a:miter lim="800000"/>
            </a:ln>
            <a:effectLst/>
          </c:spPr>
          <c:marker>
            <c:symbol val="none"/>
          </c:marker>
          <c:cat>
            <c:numRef>
              <c:f>'Mitt Salg'!$A$8:$A$61</c:f>
              <c:numCache>
                <c:formatCode>General</c:formatCode>
                <c:ptCount val="54"/>
              </c:numCache>
            </c:numRef>
          </c:cat>
          <c:val>
            <c:numRef>
              <c:f>'Mitt Salg'!$Q$8:$Q$61</c:f>
              <c:numCache>
                <c:formatCode>_(* #\ ##0_);_(* \(#\ ##0\);_(* "-"??_);_(@_)</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1"/>
          <c:extLst>
            <c:ext xmlns:c16="http://schemas.microsoft.com/office/drawing/2014/chart" uri="{C3380CC4-5D6E-409C-BE32-E72D297353CC}">
              <c16:uniqueId val="{00000000-098F-457A-B6B3-13CE2BE2C12B}"/>
            </c:ext>
          </c:extLst>
        </c:ser>
        <c:ser>
          <c:idx val="1"/>
          <c:order val="1"/>
          <c:tx>
            <c:v>Fjorår</c:v>
          </c:tx>
          <c:spPr>
            <a:ln w="28575" cap="flat" cmpd="sng" algn="ctr">
              <a:solidFill>
                <a:schemeClr val="bg1">
                  <a:lumMod val="50000"/>
                </a:schemeClr>
              </a:solidFill>
              <a:miter lim="800000"/>
            </a:ln>
            <a:effectLst/>
          </c:spPr>
          <c:marker>
            <c:symbol val="none"/>
          </c:marker>
          <c:cat>
            <c:numRef>
              <c:f>'Mitt Salg'!$A$8:$A$61</c:f>
              <c:numCache>
                <c:formatCode>General</c:formatCode>
                <c:ptCount val="54"/>
              </c:numCache>
            </c:numRef>
          </c:cat>
          <c:val>
            <c:numRef>
              <c:f>'Mitt Salg'!$R$8:$R$61</c:f>
              <c:numCache>
                <c:formatCode>_(* #\ ##0_);_(* \(#\ ##0\);_(* "-"??_);_(@_)</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1"/>
          <c:extLst>
            <c:ext xmlns:c16="http://schemas.microsoft.com/office/drawing/2014/chart" uri="{C3380CC4-5D6E-409C-BE32-E72D297353CC}">
              <c16:uniqueId val="{00000001-098F-457A-B6B3-13CE2BE2C12B}"/>
            </c:ext>
          </c:extLst>
        </c:ser>
        <c:dLbls>
          <c:showLegendKey val="0"/>
          <c:showVal val="0"/>
          <c:showCatName val="0"/>
          <c:showSerName val="0"/>
          <c:showPercent val="0"/>
          <c:showBubbleSize val="0"/>
        </c:dLbls>
        <c:smooth val="0"/>
        <c:axId val="494785216"/>
        <c:axId val="494794624"/>
      </c:lineChart>
      <c:catAx>
        <c:axId val="494785216"/>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4624"/>
        <c:crosses val="autoZero"/>
        <c:auto val="1"/>
        <c:lblAlgn val="ctr"/>
        <c:lblOffset val="100"/>
        <c:noMultiLvlLbl val="0"/>
      </c:catAx>
      <c:valAx>
        <c:axId val="494794624"/>
        <c:scaling>
          <c:orientation val="minMax"/>
        </c:scaling>
        <c:delete val="0"/>
        <c:axPos val="l"/>
        <c:majorGridlines>
          <c:spPr>
            <a:ln w="9525" cap="flat" cmpd="sng" algn="ctr">
              <a:solidFill>
                <a:schemeClr val="tx1">
                  <a:lumMod val="15000"/>
                  <a:lumOff val="85000"/>
                  <a:alpha val="32000"/>
                </a:schemeClr>
              </a:solidFill>
              <a:round/>
            </a:ln>
            <a:effectLst/>
          </c:spPr>
        </c:majorGridlines>
        <c:title>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nb-NO"/>
            </a:p>
          </c:txPr>
        </c:title>
        <c:numFmt formatCode="_(* #\ ##0_);_(* \(#\ ##0\);_(*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5216"/>
        <c:crosses val="autoZero"/>
        <c:crossBetween val="between"/>
      </c:valAx>
      <c:spPr>
        <a:noFill/>
        <a:ln>
          <a:noFill/>
        </a:ln>
        <a:effectLst/>
      </c:spPr>
    </c:plotArea>
    <c:legend>
      <c:legendPos val="t"/>
      <c:layout>
        <c:manualLayout>
          <c:xMode val="edge"/>
          <c:yMode val="edge"/>
          <c:x val="0.81759586690230623"/>
          <c:y val="4.0089504374100707E-2"/>
          <c:w val="0.17705487794417854"/>
          <c:h val="7.537739873868050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nb-NO"/>
              <a:t>Tilbudsomsetning</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nb-NO"/>
        </a:p>
      </c:txPr>
    </c:title>
    <c:autoTitleDeleted val="0"/>
    <c:plotArea>
      <c:layout>
        <c:manualLayout>
          <c:layoutTarget val="inner"/>
          <c:xMode val="edge"/>
          <c:yMode val="edge"/>
          <c:x val="6.8024289994373724E-2"/>
          <c:y val="0.10038507865193416"/>
          <c:w val="0.91648820560576705"/>
          <c:h val="0.79770052835890493"/>
        </c:manualLayout>
      </c:layout>
      <c:lineChart>
        <c:grouping val="standard"/>
        <c:varyColors val="0"/>
        <c:ser>
          <c:idx val="0"/>
          <c:order val="0"/>
          <c:tx>
            <c:v>Realisert</c:v>
          </c:tx>
          <c:spPr>
            <a:ln w="31750" cap="flat" cmpd="sng" algn="ctr">
              <a:solidFill>
                <a:schemeClr val="accent1">
                  <a:lumMod val="75000"/>
                </a:schemeClr>
              </a:solidFill>
              <a:miter lim="800000"/>
            </a:ln>
            <a:effectLst/>
          </c:spPr>
          <c:marker>
            <c:symbol val="none"/>
          </c:marker>
          <c:cat>
            <c:numRef>
              <c:f>'Mitt Salg'!$A$8:$A$61</c:f>
              <c:numCache>
                <c:formatCode>General</c:formatCode>
                <c:ptCount val="54"/>
              </c:numCache>
            </c:numRef>
          </c:cat>
          <c:val>
            <c:numRef>
              <c:f>'Mitt Salg'!$O$8:$O$61</c:f>
              <c:numCache>
                <c:formatCode>_(* #\ ##0_);_(* \(#\ ##0\);_(* "-"??_);_(@_)</c:formatCode>
                <c:ptCount val="54"/>
              </c:numCache>
            </c:numRef>
          </c:val>
          <c:smooth val="1"/>
          <c:extLst>
            <c:ext xmlns:c16="http://schemas.microsoft.com/office/drawing/2014/chart" uri="{C3380CC4-5D6E-409C-BE32-E72D297353CC}">
              <c16:uniqueId val="{00000000-6067-402E-91FF-80F8BA6CF6A7}"/>
            </c:ext>
          </c:extLst>
        </c:ser>
        <c:ser>
          <c:idx val="1"/>
          <c:order val="1"/>
          <c:tx>
            <c:v>Fjorår</c:v>
          </c:tx>
          <c:spPr>
            <a:ln w="25400" cap="flat" cmpd="sng" algn="ctr">
              <a:solidFill>
                <a:schemeClr val="bg1">
                  <a:lumMod val="50000"/>
                </a:schemeClr>
              </a:solidFill>
              <a:miter lim="800000"/>
            </a:ln>
            <a:effectLst/>
          </c:spPr>
          <c:marker>
            <c:symbol val="none"/>
          </c:marker>
          <c:cat>
            <c:numRef>
              <c:f>'Mitt Salg'!$A$8:$A$61</c:f>
              <c:numCache>
                <c:formatCode>General</c:formatCode>
                <c:ptCount val="54"/>
              </c:numCache>
            </c:numRef>
          </c:cat>
          <c:val>
            <c:numRef>
              <c:f>'Mitt Salg'!$P$8:$P$61</c:f>
              <c:numCache>
                <c:formatCode>_(* #\ ##0_);_(* \(#\ ##0\);_(* "-"??_);_(@_)</c:formatCode>
                <c:ptCount val="54"/>
              </c:numCache>
            </c:numRef>
          </c:val>
          <c:smooth val="1"/>
          <c:extLst>
            <c:ext xmlns:c16="http://schemas.microsoft.com/office/drawing/2014/chart" uri="{C3380CC4-5D6E-409C-BE32-E72D297353CC}">
              <c16:uniqueId val="{00000001-6067-402E-91FF-80F8BA6CF6A7}"/>
            </c:ext>
          </c:extLst>
        </c:ser>
        <c:dLbls>
          <c:showLegendKey val="0"/>
          <c:showVal val="0"/>
          <c:showCatName val="0"/>
          <c:showSerName val="0"/>
          <c:showPercent val="0"/>
          <c:showBubbleSize val="0"/>
        </c:dLbls>
        <c:smooth val="0"/>
        <c:axId val="494791880"/>
        <c:axId val="494792272"/>
      </c:lineChart>
      <c:catAx>
        <c:axId val="494791880"/>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2272"/>
        <c:crosses val="autoZero"/>
        <c:auto val="1"/>
        <c:lblAlgn val="ctr"/>
        <c:lblOffset val="100"/>
        <c:noMultiLvlLbl val="0"/>
      </c:catAx>
      <c:valAx>
        <c:axId val="494792272"/>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_(* #\ ##0_);_(* \(#\ ##0\);_(*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1880"/>
        <c:crosses val="autoZero"/>
        <c:crossBetween val="between"/>
      </c:valAx>
      <c:spPr>
        <a:noFill/>
        <a:ln>
          <a:noFill/>
        </a:ln>
        <a:effectLst/>
      </c:spPr>
    </c:plotArea>
    <c:legend>
      <c:legendPos val="t"/>
      <c:layout>
        <c:manualLayout>
          <c:xMode val="edge"/>
          <c:yMode val="edge"/>
          <c:x val="0.78707318044173846"/>
          <c:y val="2.3876896636862436E-2"/>
          <c:w val="0.18221567035062322"/>
          <c:h val="7.936562015569903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nb-NO"/>
              <a:t>Kundeantall</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nb-NO"/>
        </a:p>
      </c:txPr>
    </c:title>
    <c:autoTitleDeleted val="0"/>
    <c:plotArea>
      <c:layout>
        <c:manualLayout>
          <c:layoutTarget val="inner"/>
          <c:xMode val="edge"/>
          <c:yMode val="edge"/>
          <c:x val="6.1513325770182377E-2"/>
          <c:y val="0.1289359142607174"/>
          <c:w val="0.92377492374715575"/>
          <c:h val="0.76366469816272975"/>
        </c:manualLayout>
      </c:layout>
      <c:lineChart>
        <c:grouping val="standard"/>
        <c:varyColors val="0"/>
        <c:ser>
          <c:idx val="0"/>
          <c:order val="0"/>
          <c:tx>
            <c:v>Realisert</c:v>
          </c:tx>
          <c:spPr>
            <a:ln w="31750" cap="flat" cmpd="sng" algn="ctr">
              <a:solidFill>
                <a:schemeClr val="accent1"/>
              </a:solidFill>
              <a:miter lim="800000"/>
            </a:ln>
            <a:effectLst/>
          </c:spPr>
          <c:marker>
            <c:symbol val="none"/>
          </c:marker>
          <c:cat>
            <c:numRef>
              <c:f>'Mitt Salg'!$A$8:$A$61</c:f>
              <c:numCache>
                <c:formatCode>General</c:formatCode>
                <c:ptCount val="54"/>
              </c:numCache>
            </c:numRef>
          </c:cat>
          <c:val>
            <c:numRef>
              <c:f>'Mitt Salg'!$G$8:$G$61</c:f>
              <c:numCache>
                <c:formatCode>_(* #\ ##0_);_(* \(#\ ##0\);_(* "-"??_);_(@_)</c:formatCode>
                <c:ptCount val="54"/>
              </c:numCache>
            </c:numRef>
          </c:val>
          <c:smooth val="1"/>
          <c:extLst>
            <c:ext xmlns:c16="http://schemas.microsoft.com/office/drawing/2014/chart" uri="{C3380CC4-5D6E-409C-BE32-E72D297353CC}">
              <c16:uniqueId val="{00000000-A2AA-4E00-9EF7-63082BF83BA8}"/>
            </c:ext>
          </c:extLst>
        </c:ser>
        <c:ser>
          <c:idx val="1"/>
          <c:order val="1"/>
          <c:tx>
            <c:v>Fjorår</c:v>
          </c:tx>
          <c:spPr>
            <a:ln w="31750" cap="flat" cmpd="sng" algn="ctr">
              <a:solidFill>
                <a:schemeClr val="bg1">
                  <a:lumMod val="50000"/>
                </a:schemeClr>
              </a:solidFill>
              <a:miter lim="800000"/>
            </a:ln>
            <a:effectLst/>
          </c:spPr>
          <c:marker>
            <c:symbol val="none"/>
          </c:marker>
          <c:cat>
            <c:numRef>
              <c:f>'Mitt Salg'!$A$8:$A$61</c:f>
              <c:numCache>
                <c:formatCode>General</c:formatCode>
                <c:ptCount val="54"/>
              </c:numCache>
            </c:numRef>
          </c:cat>
          <c:val>
            <c:numRef>
              <c:f>'Mitt Salg'!$H$8:$H$61</c:f>
              <c:numCache>
                <c:formatCode>_(* #\ ##0_);_(* \(#\ ##0\);_(* "-"??_);_(@_)</c:formatCode>
                <c:ptCount val="54"/>
              </c:numCache>
            </c:numRef>
          </c:val>
          <c:smooth val="1"/>
          <c:extLst>
            <c:ext xmlns:c16="http://schemas.microsoft.com/office/drawing/2014/chart" uri="{C3380CC4-5D6E-409C-BE32-E72D297353CC}">
              <c16:uniqueId val="{00000001-A2AA-4E00-9EF7-63082BF83BA8}"/>
            </c:ext>
          </c:extLst>
        </c:ser>
        <c:dLbls>
          <c:showLegendKey val="0"/>
          <c:showVal val="0"/>
          <c:showCatName val="0"/>
          <c:showSerName val="0"/>
          <c:showPercent val="0"/>
          <c:showBubbleSize val="0"/>
        </c:dLbls>
        <c:smooth val="0"/>
        <c:axId val="494788352"/>
        <c:axId val="494784040"/>
      </c:lineChart>
      <c:catAx>
        <c:axId val="494788352"/>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4040"/>
        <c:crosses val="autoZero"/>
        <c:auto val="1"/>
        <c:lblAlgn val="ctr"/>
        <c:lblOffset val="100"/>
        <c:noMultiLvlLbl val="0"/>
      </c:catAx>
      <c:valAx>
        <c:axId val="494784040"/>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_(* #\ ##0_);_(* \(#\ ##0\);_(*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8352"/>
        <c:crosses val="autoZero"/>
        <c:crossBetween val="between"/>
      </c:valAx>
      <c:spPr>
        <a:noFill/>
        <a:ln>
          <a:noFill/>
        </a:ln>
        <a:effectLst/>
      </c:spPr>
    </c:plotArea>
    <c:legend>
      <c:legendPos val="t"/>
      <c:layout>
        <c:manualLayout>
          <c:xMode val="edge"/>
          <c:yMode val="edge"/>
          <c:x val="0.68546631671041114"/>
          <c:y val="2.303258967629046E-2"/>
          <c:w val="0.1829334477770965"/>
          <c:h val="9.0180972931485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nb-NO"/>
              <a:t>Snitthandel</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nb-NO"/>
        </a:p>
      </c:txPr>
    </c:title>
    <c:autoTitleDeleted val="0"/>
    <c:plotArea>
      <c:layout>
        <c:manualLayout>
          <c:layoutTarget val="inner"/>
          <c:xMode val="edge"/>
          <c:yMode val="edge"/>
          <c:x val="6.3698244852980632E-2"/>
          <c:y val="0.13356554389034703"/>
          <c:w val="0.9218589511836327"/>
          <c:h val="0.7550170420062533"/>
        </c:manualLayout>
      </c:layout>
      <c:lineChart>
        <c:grouping val="standard"/>
        <c:varyColors val="0"/>
        <c:ser>
          <c:idx val="0"/>
          <c:order val="0"/>
          <c:tx>
            <c:v>Fjorår</c:v>
          </c:tx>
          <c:spPr>
            <a:ln w="31750" cap="flat" cmpd="sng" algn="ctr">
              <a:solidFill>
                <a:schemeClr val="bg1">
                  <a:lumMod val="50000"/>
                </a:schemeClr>
              </a:solidFill>
              <a:miter lim="800000"/>
            </a:ln>
            <a:effectLst/>
          </c:spPr>
          <c:marker>
            <c:symbol val="none"/>
          </c:marker>
          <c:cat>
            <c:numRef>
              <c:f>'Mitt Salg'!$A$8:$A$60</c:f>
              <c:numCache>
                <c:formatCode>General</c:formatCode>
                <c:ptCount val="53"/>
              </c:numCache>
            </c:numRef>
          </c:cat>
          <c:val>
            <c:numRef>
              <c:f>'Mitt Salg'!$J$8:$J$60</c:f>
              <c:numCache>
                <c:formatCode>0</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1"/>
          <c:extLst>
            <c:ext xmlns:c16="http://schemas.microsoft.com/office/drawing/2014/chart" uri="{C3380CC4-5D6E-409C-BE32-E72D297353CC}">
              <c16:uniqueId val="{00000000-79DB-444D-BE6B-17390D41B4C4}"/>
            </c:ext>
          </c:extLst>
        </c:ser>
        <c:ser>
          <c:idx val="1"/>
          <c:order val="1"/>
          <c:tx>
            <c:v>Realisert</c:v>
          </c:tx>
          <c:spPr>
            <a:ln w="31750" cap="flat" cmpd="sng" algn="ctr">
              <a:solidFill>
                <a:schemeClr val="accent1">
                  <a:lumMod val="75000"/>
                </a:schemeClr>
              </a:solidFill>
              <a:miter lim="800000"/>
            </a:ln>
            <a:effectLst/>
          </c:spPr>
          <c:marker>
            <c:symbol val="none"/>
          </c:marker>
          <c:cat>
            <c:numRef>
              <c:f>'Mitt Salg'!$A$8:$A$60</c:f>
              <c:numCache>
                <c:formatCode>General</c:formatCode>
                <c:ptCount val="53"/>
              </c:numCache>
            </c:numRef>
          </c:cat>
          <c:val>
            <c:numRef>
              <c:f>'Mitt Salg'!$I$8:$I$60</c:f>
              <c:numCache>
                <c:formatCode>0</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1"/>
          <c:extLst>
            <c:ext xmlns:c16="http://schemas.microsoft.com/office/drawing/2014/chart" uri="{C3380CC4-5D6E-409C-BE32-E72D297353CC}">
              <c16:uniqueId val="{00000001-79DB-444D-BE6B-17390D41B4C4}"/>
            </c:ext>
          </c:extLst>
        </c:ser>
        <c:dLbls>
          <c:showLegendKey val="0"/>
          <c:showVal val="0"/>
          <c:showCatName val="0"/>
          <c:showSerName val="0"/>
          <c:showPercent val="0"/>
          <c:showBubbleSize val="0"/>
        </c:dLbls>
        <c:smooth val="0"/>
        <c:axId val="494787568"/>
        <c:axId val="494789528"/>
      </c:lineChart>
      <c:catAx>
        <c:axId val="49478756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9528"/>
        <c:crosses val="autoZero"/>
        <c:auto val="1"/>
        <c:lblAlgn val="ctr"/>
        <c:lblOffset val="100"/>
        <c:noMultiLvlLbl val="0"/>
      </c:catAx>
      <c:valAx>
        <c:axId val="494789528"/>
        <c:scaling>
          <c:orientation val="minMax"/>
          <c:min val="100"/>
        </c:scaling>
        <c:delete val="0"/>
        <c:axPos val="l"/>
        <c:majorGridlines>
          <c:spPr>
            <a:ln w="9525" cap="flat" cmpd="sng" algn="ctr">
              <a:solidFill>
                <a:schemeClr val="tx1">
                  <a:lumMod val="15000"/>
                  <a:lumOff val="85000"/>
                  <a:alpha val="32000"/>
                </a:schemeClr>
              </a:solidFill>
              <a:round/>
            </a:ln>
            <a:effectLst/>
          </c:spPr>
        </c:majorGridlines>
        <c:title>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nb-NO"/>
            </a:p>
          </c:txPr>
        </c:title>
        <c:numFmt formatCode="0"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7568"/>
        <c:crosses val="autoZero"/>
        <c:crossBetween val="between"/>
      </c:valAx>
      <c:spPr>
        <a:noFill/>
        <a:ln>
          <a:noFill/>
        </a:ln>
        <a:effectLst/>
      </c:spPr>
    </c:plotArea>
    <c:legend>
      <c:legendPos val="t"/>
      <c:layout>
        <c:manualLayout>
          <c:xMode val="edge"/>
          <c:yMode val="edge"/>
          <c:x val="0.82568373030022735"/>
          <c:y val="3.6921478565179355E-2"/>
          <c:w val="0.17431624196581727"/>
          <c:h val="8.50667410770103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Svinn pr Vareområde</a:t>
            </a:r>
            <a:r>
              <a:rPr lang="nb-NO" baseline="0"/>
              <a:t> stablet</a:t>
            </a:r>
            <a:endParaRPr lang="nb-N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barChart>
        <c:barDir val="col"/>
        <c:grouping val="stacked"/>
        <c:varyColors val="0"/>
        <c:ser>
          <c:idx val="0"/>
          <c:order val="0"/>
          <c:tx>
            <c:v>Kjøtt</c:v>
          </c:tx>
          <c:spPr>
            <a:solidFill>
              <a:schemeClr val="accent2">
                <a:lumMod val="75000"/>
              </a:schemeClr>
            </a:solidFill>
            <a:ln>
              <a:noFill/>
            </a:ln>
            <a:effectLst/>
          </c:spPr>
          <c:invertIfNegative val="0"/>
          <c:val>
            <c:numRef>
              <c:f>'Mitt Svinn'!$K$8:$K$60</c:f>
              <c:numCache>
                <c:formatCode>#,##0</c:formatCode>
                <c:ptCount val="53"/>
              </c:numCache>
            </c:numRef>
          </c:val>
          <c:extLst>
            <c:ext xmlns:c16="http://schemas.microsoft.com/office/drawing/2014/chart" uri="{C3380CC4-5D6E-409C-BE32-E72D297353CC}">
              <c16:uniqueId val="{00000000-94A6-4D31-83FE-3DEB919AD56F}"/>
            </c:ext>
          </c:extLst>
        </c:ser>
        <c:ser>
          <c:idx val="1"/>
          <c:order val="1"/>
          <c:tx>
            <c:strRef>
              <c:f>'Mitt Svinn'!$M$4:$N$4</c:f>
              <c:strCache>
                <c:ptCount val="1"/>
                <c:pt idx="0">
                  <c:v>Brød</c:v>
                </c:pt>
              </c:strCache>
            </c:strRef>
          </c:tx>
          <c:spPr>
            <a:solidFill>
              <a:schemeClr val="accent6">
                <a:lumMod val="75000"/>
              </a:schemeClr>
            </a:solidFill>
            <a:ln>
              <a:noFill/>
            </a:ln>
            <a:effectLst/>
          </c:spPr>
          <c:invertIfNegative val="0"/>
          <c:val>
            <c:numRef>
              <c:f>'Mitt Svinn'!$M$8:$M$60</c:f>
              <c:numCache>
                <c:formatCode>#,##0</c:formatCode>
                <c:ptCount val="53"/>
              </c:numCache>
            </c:numRef>
          </c:val>
          <c:extLst>
            <c:ext xmlns:c16="http://schemas.microsoft.com/office/drawing/2014/chart" uri="{C3380CC4-5D6E-409C-BE32-E72D297353CC}">
              <c16:uniqueId val="{00000001-94A6-4D31-83FE-3DEB919AD56F}"/>
            </c:ext>
          </c:extLst>
        </c:ser>
        <c:ser>
          <c:idx val="2"/>
          <c:order val="2"/>
          <c:tx>
            <c:strRef>
              <c:f>'Mitt Svinn'!$O$4:$P$4</c:f>
              <c:strCache>
                <c:ptCount val="1"/>
                <c:pt idx="0">
                  <c:v>Frukt&amp;Grønt</c:v>
                </c:pt>
              </c:strCache>
            </c:strRef>
          </c:tx>
          <c:spPr>
            <a:solidFill>
              <a:schemeClr val="accent3">
                <a:lumMod val="75000"/>
              </a:schemeClr>
            </a:solidFill>
            <a:ln>
              <a:noFill/>
            </a:ln>
            <a:effectLst/>
          </c:spPr>
          <c:invertIfNegative val="0"/>
          <c:val>
            <c:numRef>
              <c:f>'Mitt Svinn'!$O$8:$O$60</c:f>
              <c:numCache>
                <c:formatCode>#,##0</c:formatCode>
                <c:ptCount val="53"/>
              </c:numCache>
            </c:numRef>
          </c:val>
          <c:extLst>
            <c:ext xmlns:c16="http://schemas.microsoft.com/office/drawing/2014/chart" uri="{C3380CC4-5D6E-409C-BE32-E72D297353CC}">
              <c16:uniqueId val="{00000002-94A6-4D31-83FE-3DEB919AD56F}"/>
            </c:ext>
          </c:extLst>
        </c:ser>
        <c:ser>
          <c:idx val="3"/>
          <c:order val="3"/>
          <c:tx>
            <c:strRef>
              <c:f>'Mitt Svinn'!$Q$4:$R$4</c:f>
              <c:strCache>
                <c:ptCount val="1"/>
                <c:pt idx="0">
                  <c:v>Fisk</c:v>
                </c:pt>
              </c:strCache>
            </c:strRef>
          </c:tx>
          <c:spPr>
            <a:solidFill>
              <a:srgbClr val="00B0F0"/>
            </a:solidFill>
            <a:ln>
              <a:noFill/>
            </a:ln>
            <a:effectLst/>
          </c:spPr>
          <c:invertIfNegative val="0"/>
          <c:val>
            <c:numRef>
              <c:f>'Mitt Svinn'!$Q$8:$Q$60</c:f>
              <c:numCache>
                <c:formatCode>#,##0</c:formatCode>
                <c:ptCount val="53"/>
              </c:numCache>
            </c:numRef>
          </c:val>
          <c:extLst>
            <c:ext xmlns:c16="http://schemas.microsoft.com/office/drawing/2014/chart" uri="{C3380CC4-5D6E-409C-BE32-E72D297353CC}">
              <c16:uniqueId val="{00000003-94A6-4D31-83FE-3DEB919AD56F}"/>
            </c:ext>
          </c:extLst>
        </c:ser>
        <c:ser>
          <c:idx val="4"/>
          <c:order val="4"/>
          <c:tx>
            <c:strRef>
              <c:f>'Mitt Svinn'!$S$4:$T$4</c:f>
              <c:strCache>
                <c:ptCount val="1"/>
                <c:pt idx="0">
                  <c:v>Tørrvarer</c:v>
                </c:pt>
              </c:strCache>
            </c:strRef>
          </c:tx>
          <c:spPr>
            <a:solidFill>
              <a:schemeClr val="bg1">
                <a:lumMod val="50000"/>
              </a:schemeClr>
            </a:solidFill>
            <a:ln>
              <a:noFill/>
            </a:ln>
            <a:effectLst/>
          </c:spPr>
          <c:invertIfNegative val="0"/>
          <c:val>
            <c:numRef>
              <c:f>'Mitt Svinn'!$S$8:$S$60</c:f>
              <c:numCache>
                <c:formatCode>#,##0</c:formatCode>
                <c:ptCount val="53"/>
              </c:numCache>
            </c:numRef>
          </c:val>
          <c:extLst>
            <c:ext xmlns:c16="http://schemas.microsoft.com/office/drawing/2014/chart" uri="{C3380CC4-5D6E-409C-BE32-E72D297353CC}">
              <c16:uniqueId val="{00000004-94A6-4D31-83FE-3DEB919AD56F}"/>
            </c:ext>
          </c:extLst>
        </c:ser>
        <c:ser>
          <c:idx val="5"/>
          <c:order val="5"/>
          <c:tx>
            <c:strRef>
              <c:f>'Mitt Svinn'!$U$4:$V$4</c:f>
              <c:strCache>
                <c:ptCount val="1"/>
                <c:pt idx="0">
                  <c:v>Øvrig</c:v>
                </c:pt>
              </c:strCache>
            </c:strRef>
          </c:tx>
          <c:spPr>
            <a:solidFill>
              <a:schemeClr val="accent4">
                <a:lumMod val="60000"/>
                <a:lumOff val="40000"/>
              </a:schemeClr>
            </a:solidFill>
            <a:ln>
              <a:noFill/>
            </a:ln>
            <a:effectLst/>
          </c:spPr>
          <c:invertIfNegative val="0"/>
          <c:val>
            <c:numRef>
              <c:f>'Mitt Svinn'!$U$8:$U$60</c:f>
              <c:numCache>
                <c:formatCode>#,##0</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extLst>
            <c:ext xmlns:c16="http://schemas.microsoft.com/office/drawing/2014/chart" uri="{C3380CC4-5D6E-409C-BE32-E72D297353CC}">
              <c16:uniqueId val="{00000005-94A6-4D31-83FE-3DEB919AD56F}"/>
            </c:ext>
          </c:extLst>
        </c:ser>
        <c:dLbls>
          <c:showLegendKey val="0"/>
          <c:showVal val="0"/>
          <c:showCatName val="0"/>
          <c:showSerName val="0"/>
          <c:showPercent val="0"/>
          <c:showBubbleSize val="0"/>
        </c:dLbls>
        <c:gapWidth val="75"/>
        <c:overlap val="100"/>
        <c:axId val="494784824"/>
        <c:axId val="494787960"/>
      </c:barChart>
      <c:lineChart>
        <c:grouping val="standard"/>
        <c:varyColors val="0"/>
        <c:ser>
          <c:idx val="6"/>
          <c:order val="6"/>
          <c:tx>
            <c:strRef>
              <c:f>'Mitt Svinn'!$H$5</c:f>
              <c:strCache>
                <c:ptCount val="1"/>
                <c:pt idx="0">
                  <c:v>%</c:v>
                </c:pt>
              </c:strCache>
            </c:strRef>
          </c:tx>
          <c:spPr>
            <a:ln w="28575" cap="rnd">
              <a:solidFill>
                <a:schemeClr val="accent1">
                  <a:lumMod val="60000"/>
                </a:schemeClr>
              </a:solidFill>
              <a:round/>
            </a:ln>
            <a:effectLst/>
          </c:spPr>
          <c:marker>
            <c:symbol val="none"/>
          </c:marker>
          <c:val>
            <c:numRef>
              <c:f>'Mitt Svinn'!$H$8:$H$60</c:f>
              <c:numCache>
                <c:formatCode>0.00%</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1"/>
          <c:extLst>
            <c:ext xmlns:c16="http://schemas.microsoft.com/office/drawing/2014/chart" uri="{C3380CC4-5D6E-409C-BE32-E72D297353CC}">
              <c16:uniqueId val="{00000006-94A6-4D31-83FE-3DEB919AD56F}"/>
            </c:ext>
          </c:extLst>
        </c:ser>
        <c:dLbls>
          <c:showLegendKey val="0"/>
          <c:showVal val="0"/>
          <c:showCatName val="0"/>
          <c:showSerName val="0"/>
          <c:showPercent val="0"/>
          <c:showBubbleSize val="0"/>
        </c:dLbls>
        <c:marker val="1"/>
        <c:smooth val="0"/>
        <c:axId val="494790312"/>
        <c:axId val="494789920"/>
      </c:lineChart>
      <c:catAx>
        <c:axId val="494784824"/>
        <c:scaling>
          <c:orientation val="minMax"/>
        </c:scaling>
        <c:delete val="0"/>
        <c:axPos val="t"/>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7960"/>
        <c:crosses val="autoZero"/>
        <c:auto val="1"/>
        <c:lblAlgn val="ctr"/>
        <c:lblOffset val="100"/>
        <c:noMultiLvlLbl val="0"/>
      </c:catAx>
      <c:valAx>
        <c:axId val="494787960"/>
        <c:scaling>
          <c:orientation val="maxMin"/>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4824"/>
        <c:crosses val="autoZero"/>
        <c:crossBetween val="between"/>
      </c:valAx>
      <c:valAx>
        <c:axId val="494789920"/>
        <c:scaling>
          <c:orientation val="maxMin"/>
          <c:max val="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0312"/>
        <c:crosses val="max"/>
        <c:crossBetween val="between"/>
      </c:valAx>
      <c:catAx>
        <c:axId val="494790312"/>
        <c:scaling>
          <c:orientation val="minMax"/>
        </c:scaling>
        <c:delete val="1"/>
        <c:axPos val="t"/>
        <c:majorTickMark val="out"/>
        <c:minorTickMark val="none"/>
        <c:tickLblPos val="nextTo"/>
        <c:crossAx val="4947899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rgbClr val="FF0000"/>
      </a:solidFill>
      <a:round/>
    </a:ln>
    <a:effectLst/>
  </c:spPr>
  <c:txPr>
    <a:bodyPr/>
    <a:lstStyle/>
    <a:p>
      <a:pPr>
        <a:defRPr/>
      </a:pPr>
      <a:endParaRPr lang="nb-NO"/>
    </a:p>
  </c:txPr>
  <c:printSettings>
    <c:headerFooter/>
    <c:pageMargins b="0.75" l="0.25" r="0.25" t="0.75" header="0.3" footer="0.3"/>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Svinn utvikling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barChart>
        <c:barDir val="col"/>
        <c:grouping val="clustered"/>
        <c:varyColors val="0"/>
        <c:ser>
          <c:idx val="0"/>
          <c:order val="0"/>
          <c:tx>
            <c:strRef>
              <c:f>'Svinn pr VO'!$D$4</c:f>
              <c:strCache>
                <c:ptCount val="1"/>
                <c:pt idx="0">
                  <c:v>VO Svinn</c:v>
                </c:pt>
              </c:strCache>
            </c:strRef>
          </c:tx>
          <c:spPr>
            <a:solidFill>
              <a:schemeClr val="accent1"/>
            </a:solidFill>
            <a:ln>
              <a:noFill/>
            </a:ln>
            <a:effectLst/>
          </c:spPr>
          <c:invertIfNegative val="0"/>
          <c:cat>
            <c:numRef>
              <c:f>'Svinn pr VO'!$A$5:$A$57</c:f>
              <c:numCache>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Cache>
            </c:numRef>
          </c:cat>
          <c:val>
            <c:numRef>
              <c:f>'Svinn pr VO'!$D$5:$D$57</c:f>
              <c:numCache>
                <c:formatCode>#,##0</c:formatCode>
                <c:ptCount val="53"/>
                <c:pt idx="0">
                  <c:v>-1548</c:v>
                </c:pt>
              </c:numCache>
            </c:numRef>
          </c:val>
          <c:extLst>
            <c:ext xmlns:c16="http://schemas.microsoft.com/office/drawing/2014/chart" uri="{C3380CC4-5D6E-409C-BE32-E72D297353CC}">
              <c16:uniqueId val="{00000000-2FE8-4F17-89B1-4080EDF992FC}"/>
            </c:ext>
          </c:extLst>
        </c:ser>
        <c:dLbls>
          <c:showLegendKey val="0"/>
          <c:showVal val="0"/>
          <c:showCatName val="0"/>
          <c:showSerName val="0"/>
          <c:showPercent val="0"/>
          <c:showBubbleSize val="0"/>
        </c:dLbls>
        <c:gapWidth val="150"/>
        <c:axId val="494786000"/>
        <c:axId val="494792664"/>
      </c:barChart>
      <c:lineChart>
        <c:grouping val="standard"/>
        <c:varyColors val="0"/>
        <c:ser>
          <c:idx val="1"/>
          <c:order val="1"/>
          <c:tx>
            <c:strRef>
              <c:f>'Svinn pr VO'!$E$4</c:f>
              <c:strCache>
                <c:ptCount val="1"/>
                <c:pt idx="0">
                  <c:v>VO Svinn %</c:v>
                </c:pt>
              </c:strCache>
            </c:strRef>
          </c:tx>
          <c:spPr>
            <a:ln w="19050" cap="rnd">
              <a:solidFill>
                <a:schemeClr val="tx2">
                  <a:lumMod val="50000"/>
                </a:schemeClr>
              </a:solidFill>
              <a:round/>
            </a:ln>
            <a:effectLst/>
          </c:spPr>
          <c:marker>
            <c:symbol val="none"/>
          </c:marker>
          <c:cat>
            <c:numRef>
              <c:f>'Svinn pr VO'!$A$5:$A$57</c:f>
              <c:numCache>
                <c:formatCode>General</c:formatCod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numCache>
            </c:numRef>
          </c:cat>
          <c:val>
            <c:numRef>
              <c:f>'Svinn pr VO'!$E$5:$E$57</c:f>
              <c:numCache>
                <c:formatCode>0.00%</c:formatCode>
                <c:ptCount val="53"/>
                <c:pt idx="0">
                  <c:v>-3.5631996059303796E-3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1-2FE8-4F17-89B1-4080EDF992FC}"/>
            </c:ext>
          </c:extLst>
        </c:ser>
        <c:dLbls>
          <c:showLegendKey val="0"/>
          <c:showVal val="0"/>
          <c:showCatName val="0"/>
          <c:showSerName val="0"/>
          <c:showPercent val="0"/>
          <c:showBubbleSize val="0"/>
        </c:dLbls>
        <c:marker val="1"/>
        <c:smooth val="0"/>
        <c:axId val="494790704"/>
        <c:axId val="494786392"/>
      </c:lineChart>
      <c:catAx>
        <c:axId val="49478600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2664"/>
        <c:crosses val="autoZero"/>
        <c:auto val="1"/>
        <c:lblAlgn val="ctr"/>
        <c:lblOffset val="100"/>
        <c:tickMarkSkip val="1"/>
        <c:noMultiLvlLbl val="0"/>
      </c:catAx>
      <c:valAx>
        <c:axId val="494792664"/>
        <c:scaling>
          <c:orientation val="maxMin"/>
          <c:max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86000"/>
        <c:crosses val="autoZero"/>
        <c:crossBetween val="between"/>
      </c:valAx>
      <c:valAx>
        <c:axId val="494786392"/>
        <c:scaling>
          <c:orientation val="maxMin"/>
          <c:max val="0"/>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94790704"/>
        <c:crosses val="max"/>
        <c:crossBetween val="between"/>
      </c:valAx>
      <c:catAx>
        <c:axId val="494790704"/>
        <c:scaling>
          <c:orientation val="minMax"/>
        </c:scaling>
        <c:delete val="1"/>
        <c:axPos val="t"/>
        <c:numFmt formatCode="General" sourceLinked="1"/>
        <c:majorTickMark val="out"/>
        <c:minorTickMark val="none"/>
        <c:tickLblPos val="nextTo"/>
        <c:crossAx val="494786392"/>
        <c:crossesAt val="0"/>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Omsetning</a:t>
            </a:r>
            <a:r>
              <a:rPr lang="nb-NO" baseline="0"/>
              <a:t> Trend</a:t>
            </a:r>
            <a:endParaRPr lang="nb-NO"/>
          </a:p>
        </c:rich>
      </c:tx>
      <c:layout/>
      <c:overlay val="0"/>
    </c:title>
    <c:autoTitleDeleted val="0"/>
    <c:plotArea>
      <c:layout/>
      <c:lineChart>
        <c:grouping val="standard"/>
        <c:varyColors val="0"/>
        <c:ser>
          <c:idx val="0"/>
          <c:order val="0"/>
          <c:tx>
            <c:strRef>
              <c:f>'Store Trend'!$B$5</c:f>
              <c:strCache>
                <c:ptCount val="1"/>
                <c:pt idx="0">
                  <c:v>Bud Oms</c:v>
                </c:pt>
              </c:strCache>
            </c:strRef>
          </c:tx>
          <c:spPr>
            <a:ln w="22225">
              <a:prstDash val="sysDash"/>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Trend'!$B$6:$B$15</c:f>
              <c:numCache>
                <c:formatCode>_(* #.##0_);_(* \(#.##0\);_(* "-"??_);_(@_)</c:formatCode>
                <c:ptCount val="10"/>
              </c:numCache>
            </c:numRef>
          </c:val>
          <c:smooth val="0"/>
          <c:extLst>
            <c:ext xmlns:c16="http://schemas.microsoft.com/office/drawing/2014/chart" uri="{C3380CC4-5D6E-409C-BE32-E72D297353CC}">
              <c16:uniqueId val="{00000000-2250-4F36-9C75-CF80B8EEB9BF}"/>
            </c:ext>
          </c:extLst>
        </c:ser>
        <c:ser>
          <c:idx val="1"/>
          <c:order val="1"/>
          <c:tx>
            <c:strRef>
              <c:f>'Store Trend'!$C$5</c:f>
              <c:strCache>
                <c:ptCount val="1"/>
                <c:pt idx="0">
                  <c:v>Realisert</c:v>
                </c:pt>
              </c:strCache>
            </c:strRef>
          </c:tx>
          <c:spPr>
            <a:ln w="22225">
              <a:solidFill>
                <a:schemeClr val="tx1"/>
              </a:solidFill>
              <a:tailEnd type="triangle"/>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Trend'!$C$6:$C$15</c:f>
              <c:numCache>
                <c:formatCode>_(* #.##0_);_(* \(#.##0\);_(* "-"??_);_(@_)</c:formatCode>
                <c:ptCount val="10"/>
              </c:numCache>
            </c:numRef>
          </c:val>
          <c:smooth val="0"/>
          <c:extLst>
            <c:ext xmlns:c16="http://schemas.microsoft.com/office/drawing/2014/chart" uri="{C3380CC4-5D6E-409C-BE32-E72D297353CC}">
              <c16:uniqueId val="{00000001-2250-4F36-9C75-CF80B8EEB9BF}"/>
            </c:ext>
          </c:extLst>
        </c:ser>
        <c:ser>
          <c:idx val="2"/>
          <c:order val="2"/>
          <c:tx>
            <c:strRef>
              <c:f>'Store Trend'!$D$5</c:f>
              <c:strCache>
                <c:ptCount val="1"/>
                <c:pt idx="0">
                  <c:v>Fjorår</c:v>
                </c:pt>
              </c:strCache>
            </c:strRef>
          </c:tx>
          <c:spPr>
            <a:ln w="19050">
              <a:solidFill>
                <a:schemeClr val="tx1">
                  <a:lumMod val="50000"/>
                  <a:lumOff val="50000"/>
                </a:schemeClr>
              </a:solidFill>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Trend'!$D$6:$D$15</c:f>
              <c:numCache>
                <c:formatCode>_ * #.##0_ ;_ * \-#.##0_ ;_ * "-"??_ ;_ @_ </c:formatCode>
                <c:ptCount val="10"/>
              </c:numCache>
            </c:numRef>
          </c:val>
          <c:smooth val="0"/>
          <c:extLst>
            <c:ext xmlns:c16="http://schemas.microsoft.com/office/drawing/2014/chart" uri="{C3380CC4-5D6E-409C-BE32-E72D297353CC}">
              <c16:uniqueId val="{00000002-2250-4F36-9C75-CF80B8EEB9BF}"/>
            </c:ext>
          </c:extLst>
        </c:ser>
        <c:dLbls>
          <c:showLegendKey val="0"/>
          <c:showVal val="0"/>
          <c:showCatName val="0"/>
          <c:showSerName val="0"/>
          <c:showPercent val="0"/>
          <c:showBubbleSize val="0"/>
        </c:dLbls>
        <c:smooth val="0"/>
        <c:axId val="494795016"/>
        <c:axId val="485360384"/>
      </c:lineChart>
      <c:catAx>
        <c:axId val="494795016"/>
        <c:scaling>
          <c:orientation val="minMax"/>
        </c:scaling>
        <c:delete val="0"/>
        <c:axPos val="b"/>
        <c:numFmt formatCode="General" sourceLinked="1"/>
        <c:majorTickMark val="none"/>
        <c:minorTickMark val="none"/>
        <c:tickLblPos val="nextTo"/>
        <c:crossAx val="485360384"/>
        <c:crosses val="autoZero"/>
        <c:auto val="1"/>
        <c:lblAlgn val="ctr"/>
        <c:lblOffset val="100"/>
        <c:noMultiLvlLbl val="0"/>
      </c:catAx>
      <c:valAx>
        <c:axId val="485360384"/>
        <c:scaling>
          <c:orientation val="minMax"/>
          <c:min val="0"/>
        </c:scaling>
        <c:delete val="0"/>
        <c:axPos val="l"/>
        <c:majorGridlines/>
        <c:minorGridlines/>
        <c:numFmt formatCode="#,##0" sourceLinked="0"/>
        <c:majorTickMark val="none"/>
        <c:minorTickMark val="none"/>
        <c:tickLblPos val="nextTo"/>
        <c:spPr>
          <a:ln w="9525">
            <a:noFill/>
          </a:ln>
        </c:spPr>
        <c:crossAx val="494795016"/>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Lønnstimer Trend</a:t>
            </a:r>
          </a:p>
        </c:rich>
      </c:tx>
      <c:layout/>
      <c:overlay val="0"/>
    </c:title>
    <c:autoTitleDeleted val="0"/>
    <c:plotArea>
      <c:layout/>
      <c:lineChart>
        <c:grouping val="standard"/>
        <c:varyColors val="0"/>
        <c:ser>
          <c:idx val="0"/>
          <c:order val="0"/>
          <c:tx>
            <c:strRef>
              <c:f>'Store Trend'!$G$5</c:f>
              <c:strCache>
                <c:ptCount val="1"/>
                <c:pt idx="0">
                  <c:v>Bud Timer</c:v>
                </c:pt>
              </c:strCache>
            </c:strRef>
          </c:tx>
          <c:spPr>
            <a:ln w="22225">
              <a:prstDash val="sysDash"/>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Trend'!$G$6:$G$15</c:f>
              <c:numCache>
                <c:formatCode>_(* #\ ##0_);_(* \(#\ ##0\);_(* "-"??_);_(@_)</c:formatCode>
                <c:ptCount val="10"/>
              </c:numCache>
            </c:numRef>
          </c:val>
          <c:smooth val="0"/>
          <c:extLst>
            <c:ext xmlns:c16="http://schemas.microsoft.com/office/drawing/2014/chart" uri="{C3380CC4-5D6E-409C-BE32-E72D297353CC}">
              <c16:uniqueId val="{00000000-E3D0-4E0E-B6C1-A405B147821C}"/>
            </c:ext>
          </c:extLst>
        </c:ser>
        <c:ser>
          <c:idx val="1"/>
          <c:order val="1"/>
          <c:tx>
            <c:strRef>
              <c:f>'Store Trend'!$H$5</c:f>
              <c:strCache>
                <c:ptCount val="1"/>
                <c:pt idx="0">
                  <c:v>Realisert</c:v>
                </c:pt>
              </c:strCache>
            </c:strRef>
          </c:tx>
          <c:spPr>
            <a:ln w="22225">
              <a:solidFill>
                <a:schemeClr val="tx1"/>
              </a:solidFill>
              <a:tailEnd type="triangle"/>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Trend'!$H$6:$H$15</c:f>
              <c:numCache>
                <c:formatCode>_(* #\ ##0_);_(* \(#\ ##0\);_(* "-"??_);_(@_)</c:formatCode>
                <c:ptCount val="10"/>
              </c:numCache>
            </c:numRef>
          </c:val>
          <c:smooth val="0"/>
          <c:extLst>
            <c:ext xmlns:c16="http://schemas.microsoft.com/office/drawing/2014/chart" uri="{C3380CC4-5D6E-409C-BE32-E72D297353CC}">
              <c16:uniqueId val="{00000001-E3D0-4E0E-B6C1-A405B147821C}"/>
            </c:ext>
          </c:extLst>
        </c:ser>
        <c:dLbls>
          <c:showLegendKey val="0"/>
          <c:showVal val="0"/>
          <c:showCatName val="0"/>
          <c:showSerName val="0"/>
          <c:showPercent val="0"/>
          <c:showBubbleSize val="0"/>
        </c:dLbls>
        <c:smooth val="0"/>
        <c:axId val="485362736"/>
        <c:axId val="485360776"/>
      </c:lineChart>
      <c:catAx>
        <c:axId val="485362736"/>
        <c:scaling>
          <c:orientation val="minMax"/>
        </c:scaling>
        <c:delete val="0"/>
        <c:axPos val="b"/>
        <c:numFmt formatCode="General" sourceLinked="1"/>
        <c:majorTickMark val="none"/>
        <c:minorTickMark val="none"/>
        <c:tickLblPos val="nextTo"/>
        <c:crossAx val="485360776"/>
        <c:crosses val="autoZero"/>
        <c:auto val="1"/>
        <c:lblAlgn val="ctr"/>
        <c:lblOffset val="100"/>
        <c:noMultiLvlLbl val="0"/>
      </c:catAx>
      <c:valAx>
        <c:axId val="485360776"/>
        <c:scaling>
          <c:orientation val="minMax"/>
        </c:scaling>
        <c:delete val="0"/>
        <c:axPos val="l"/>
        <c:majorGridlines/>
        <c:minorGridlines/>
        <c:numFmt formatCode="_(* #\ ##0_);_(* \(#\ ##0\);_(* &quot;-&quot;??_);_(@_)" sourceLinked="1"/>
        <c:majorTickMark val="none"/>
        <c:minorTickMark val="none"/>
        <c:tickLblPos val="nextTo"/>
        <c:spPr>
          <a:ln w="9525">
            <a:noFill/>
          </a:ln>
        </c:spPr>
        <c:crossAx val="485362736"/>
        <c:crosses val="autoZero"/>
        <c:crossBetween val="between"/>
      </c:valAx>
    </c:plotArea>
    <c:legend>
      <c:legendPos val="b"/>
      <c:layout/>
      <c:overlay val="0"/>
      <c:txPr>
        <a:bodyPr/>
        <a:lstStyle/>
        <a:p>
          <a:pPr>
            <a:defRPr sz="800"/>
          </a:pPr>
          <a:endParaRPr lang="nb-NO"/>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Lønns % Trend</a:t>
            </a:r>
          </a:p>
        </c:rich>
      </c:tx>
      <c:layout/>
      <c:overlay val="0"/>
    </c:title>
    <c:autoTitleDeleted val="0"/>
    <c:plotArea>
      <c:layout/>
      <c:lineChart>
        <c:grouping val="standard"/>
        <c:varyColors val="0"/>
        <c:ser>
          <c:idx val="0"/>
          <c:order val="0"/>
          <c:tx>
            <c:strRef>
              <c:f>'Store Trend'!$K$5</c:f>
              <c:strCache>
                <c:ptCount val="1"/>
                <c:pt idx="0">
                  <c:v>Bud %</c:v>
                </c:pt>
              </c:strCache>
            </c:strRef>
          </c:tx>
          <c:spPr>
            <a:ln w="22225">
              <a:prstDash val="sysDash"/>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Trend'!$K$6:$K$15</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B18A-4AB5-A947-67FB0F54AAB1}"/>
            </c:ext>
          </c:extLst>
        </c:ser>
        <c:ser>
          <c:idx val="1"/>
          <c:order val="1"/>
          <c:tx>
            <c:strRef>
              <c:f>'Store Trend'!$L$5</c:f>
              <c:strCache>
                <c:ptCount val="1"/>
                <c:pt idx="0">
                  <c:v>Real %</c:v>
                </c:pt>
              </c:strCache>
            </c:strRef>
          </c:tx>
          <c:spPr>
            <a:ln w="22225">
              <a:solidFill>
                <a:prstClr val="black"/>
              </a:solidFill>
              <a:tailEnd type="triangle" w="sm" len="med"/>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Trend'!$L$6:$L$15</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B18A-4AB5-A947-67FB0F54AAB1}"/>
            </c:ext>
          </c:extLst>
        </c:ser>
        <c:dLbls>
          <c:showLegendKey val="0"/>
          <c:showVal val="0"/>
          <c:showCatName val="0"/>
          <c:showSerName val="0"/>
          <c:showPercent val="0"/>
          <c:showBubbleSize val="0"/>
        </c:dLbls>
        <c:smooth val="0"/>
        <c:axId val="485363128"/>
        <c:axId val="485358424"/>
      </c:lineChart>
      <c:catAx>
        <c:axId val="485363128"/>
        <c:scaling>
          <c:orientation val="minMax"/>
        </c:scaling>
        <c:delete val="0"/>
        <c:axPos val="t"/>
        <c:numFmt formatCode="General" sourceLinked="1"/>
        <c:majorTickMark val="none"/>
        <c:minorTickMark val="none"/>
        <c:tickLblPos val="nextTo"/>
        <c:crossAx val="485358424"/>
        <c:crosses val="autoZero"/>
        <c:auto val="1"/>
        <c:lblAlgn val="ctr"/>
        <c:lblOffset val="100"/>
        <c:noMultiLvlLbl val="0"/>
      </c:catAx>
      <c:valAx>
        <c:axId val="485358424"/>
        <c:scaling>
          <c:orientation val="maxMin"/>
        </c:scaling>
        <c:delete val="0"/>
        <c:axPos val="l"/>
        <c:majorGridlines/>
        <c:minorGridlines/>
        <c:numFmt formatCode="0.00%" sourceLinked="1"/>
        <c:majorTickMark val="none"/>
        <c:minorTickMark val="none"/>
        <c:tickLblPos val="nextTo"/>
        <c:spPr>
          <a:ln w="9525">
            <a:noFill/>
          </a:ln>
        </c:spPr>
        <c:crossAx val="485363128"/>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Svinn % Trend</a:t>
            </a:r>
          </a:p>
        </c:rich>
      </c:tx>
      <c:layout/>
      <c:overlay val="0"/>
    </c:title>
    <c:autoTitleDeleted val="0"/>
    <c:plotArea>
      <c:layout/>
      <c:lineChart>
        <c:grouping val="standard"/>
        <c:varyColors val="0"/>
        <c:ser>
          <c:idx val="1"/>
          <c:order val="0"/>
          <c:tx>
            <c:strRef>
              <c:f>'Store Trend'!$F$5</c:f>
              <c:strCache>
                <c:ptCount val="1"/>
                <c:pt idx="0">
                  <c:v>Svinn</c:v>
                </c:pt>
              </c:strCache>
            </c:strRef>
          </c:tx>
          <c:spPr>
            <a:ln w="22225">
              <a:solidFill>
                <a:schemeClr val="tx1"/>
              </a:solidFill>
              <a:prstDash val="solid"/>
              <a:tailEnd type="triangle"/>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Trend'!$F$6:$F$15</c:f>
              <c:numCache>
                <c:formatCode>0.00%</c:formatCode>
                <c:ptCount val="10"/>
              </c:numCache>
            </c:numRef>
          </c:val>
          <c:smooth val="0"/>
          <c:extLst>
            <c:ext xmlns:c16="http://schemas.microsoft.com/office/drawing/2014/chart" uri="{C3380CC4-5D6E-409C-BE32-E72D297353CC}">
              <c16:uniqueId val="{00000000-BC29-4766-96DB-10BBABA8E631}"/>
            </c:ext>
          </c:extLst>
        </c:ser>
        <c:ser>
          <c:idx val="0"/>
          <c:order val="1"/>
          <c:tx>
            <c:strRef>
              <c:f>'Store Trend'!$E$5</c:f>
              <c:strCache>
                <c:ptCount val="1"/>
                <c:pt idx="0">
                  <c:v>Svinn Bud</c:v>
                </c:pt>
              </c:strCache>
            </c:strRef>
          </c:tx>
          <c:spPr>
            <a:ln w="22225">
              <a:prstDash val="sysDash"/>
            </a:ln>
          </c:spPr>
          <c:marker>
            <c:symbol val="none"/>
          </c:marker>
          <c:val>
            <c:numRef>
              <c:f>'Store Trend'!$E$6:$E$15</c:f>
              <c:numCache>
                <c:formatCode>0.00%</c:formatCode>
                <c:ptCount val="10"/>
              </c:numCache>
            </c:numRef>
          </c:val>
          <c:smooth val="0"/>
          <c:extLst>
            <c:ext xmlns:c16="http://schemas.microsoft.com/office/drawing/2014/chart" uri="{C3380CC4-5D6E-409C-BE32-E72D297353CC}">
              <c16:uniqueId val="{00000001-BC29-4766-96DB-10BBABA8E631}"/>
            </c:ext>
          </c:extLst>
        </c:ser>
        <c:dLbls>
          <c:showLegendKey val="0"/>
          <c:showVal val="0"/>
          <c:showCatName val="0"/>
          <c:showSerName val="0"/>
          <c:showPercent val="0"/>
          <c:showBubbleSize val="0"/>
        </c:dLbls>
        <c:smooth val="0"/>
        <c:axId val="485356856"/>
        <c:axId val="485359208"/>
      </c:lineChart>
      <c:catAx>
        <c:axId val="485356856"/>
        <c:scaling>
          <c:orientation val="minMax"/>
        </c:scaling>
        <c:delete val="0"/>
        <c:axPos val="t"/>
        <c:numFmt formatCode="General" sourceLinked="1"/>
        <c:majorTickMark val="none"/>
        <c:minorTickMark val="none"/>
        <c:tickLblPos val="nextTo"/>
        <c:crossAx val="485359208"/>
        <c:crosses val="autoZero"/>
        <c:auto val="1"/>
        <c:lblAlgn val="ctr"/>
        <c:lblOffset val="100"/>
        <c:noMultiLvlLbl val="0"/>
      </c:catAx>
      <c:valAx>
        <c:axId val="485359208"/>
        <c:scaling>
          <c:orientation val="maxMin"/>
        </c:scaling>
        <c:delete val="0"/>
        <c:axPos val="l"/>
        <c:majorGridlines/>
        <c:numFmt formatCode="0.00%" sourceLinked="1"/>
        <c:majorTickMark val="none"/>
        <c:minorTickMark val="none"/>
        <c:tickLblPos val="nextTo"/>
        <c:spPr>
          <a:ln w="9525">
            <a:noFill/>
          </a:ln>
        </c:spPr>
        <c:crossAx val="485356856"/>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Kundeantall</a:t>
            </a:r>
          </a:p>
        </c:rich>
      </c:tx>
      <c:layout/>
      <c:overlay val="0"/>
    </c:title>
    <c:autoTitleDeleted val="0"/>
    <c:plotArea>
      <c:layout/>
      <c:lineChart>
        <c:grouping val="standard"/>
        <c:varyColors val="0"/>
        <c:ser>
          <c:idx val="0"/>
          <c:order val="0"/>
          <c:tx>
            <c:v>Realisert</c:v>
          </c:tx>
          <c:spPr>
            <a:ln w="22225">
              <a:solidFill>
                <a:prstClr val="black"/>
              </a:solidFill>
              <a:tailEnd type="triangle"/>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Trend'!$M$6:$M$15</c:f>
              <c:numCache>
                <c:formatCode>_(* #\ ##0_);_(* \(#\ ##0\);_(* "-"??_);_(@_)</c:formatCode>
                <c:ptCount val="10"/>
              </c:numCache>
            </c:numRef>
          </c:val>
          <c:smooth val="0"/>
          <c:extLst>
            <c:ext xmlns:c16="http://schemas.microsoft.com/office/drawing/2014/chart" uri="{C3380CC4-5D6E-409C-BE32-E72D297353CC}">
              <c16:uniqueId val="{00000000-0C4C-4C88-91FD-65A28CDD8410}"/>
            </c:ext>
          </c:extLst>
        </c:ser>
        <c:ser>
          <c:idx val="1"/>
          <c:order val="1"/>
          <c:tx>
            <c:v>Fjorår</c:v>
          </c:tx>
          <c:spPr>
            <a:ln>
              <a:solidFill>
                <a:schemeClr val="accent1"/>
              </a:solidFill>
              <a:prstDash val="sysDash"/>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Trend'!$N$6:$N$15</c:f>
              <c:numCache>
                <c:formatCode>_ * #\ ##0_ ;_ * \-#\ ##0_ ;_ * "-"??_ ;_ @_ </c:formatCode>
                <c:ptCount val="10"/>
              </c:numCache>
            </c:numRef>
          </c:val>
          <c:smooth val="0"/>
          <c:extLst>
            <c:ext xmlns:c16="http://schemas.microsoft.com/office/drawing/2014/chart" uri="{C3380CC4-5D6E-409C-BE32-E72D297353CC}">
              <c16:uniqueId val="{00000001-0C4C-4C88-91FD-65A28CDD8410}"/>
            </c:ext>
          </c:extLst>
        </c:ser>
        <c:dLbls>
          <c:showLegendKey val="0"/>
          <c:showVal val="0"/>
          <c:showCatName val="0"/>
          <c:showSerName val="0"/>
          <c:showPercent val="0"/>
          <c:showBubbleSize val="0"/>
        </c:dLbls>
        <c:smooth val="0"/>
        <c:axId val="485357248"/>
        <c:axId val="485359992"/>
      </c:lineChart>
      <c:catAx>
        <c:axId val="485357248"/>
        <c:scaling>
          <c:orientation val="minMax"/>
        </c:scaling>
        <c:delete val="0"/>
        <c:axPos val="b"/>
        <c:numFmt formatCode="General" sourceLinked="1"/>
        <c:majorTickMark val="none"/>
        <c:minorTickMark val="none"/>
        <c:tickLblPos val="nextTo"/>
        <c:crossAx val="485359992"/>
        <c:crosses val="autoZero"/>
        <c:auto val="1"/>
        <c:lblAlgn val="ctr"/>
        <c:lblOffset val="100"/>
        <c:noMultiLvlLbl val="0"/>
      </c:catAx>
      <c:valAx>
        <c:axId val="485359992"/>
        <c:scaling>
          <c:orientation val="minMax"/>
        </c:scaling>
        <c:delete val="0"/>
        <c:axPos val="l"/>
        <c:majorGridlines/>
        <c:numFmt formatCode="_(* #\ ##0_);_(* \(#\ ##0\);_(* &quot;-&quot;??_);_(@_)" sourceLinked="1"/>
        <c:majorTickMark val="none"/>
        <c:minorTickMark val="none"/>
        <c:tickLblPos val="nextTo"/>
        <c:spPr>
          <a:ln w="9525">
            <a:noFill/>
          </a:ln>
        </c:spPr>
        <c:crossAx val="485357248"/>
        <c:crosses val="autoZero"/>
        <c:crossBetween val="between"/>
      </c:valAx>
    </c:plotArea>
    <c:legend>
      <c:legendPos val="b"/>
      <c:layout/>
      <c:overlay val="0"/>
    </c:legend>
    <c:plotVisOnly val="1"/>
    <c:dispBlanksAs val="gap"/>
    <c:showDLblsOverMax val="0"/>
  </c:chart>
  <c:printSettings>
    <c:headerFooter/>
    <c:pageMargins b="0.75000000000000444" l="0.70000000000000062" r="0.70000000000000062" t="0.75000000000000444"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Snitthandel</a:t>
            </a:r>
          </a:p>
        </c:rich>
      </c:tx>
      <c:layout/>
      <c:overlay val="0"/>
    </c:title>
    <c:autoTitleDeleted val="0"/>
    <c:plotArea>
      <c:layout/>
      <c:lineChart>
        <c:grouping val="standard"/>
        <c:varyColors val="0"/>
        <c:ser>
          <c:idx val="0"/>
          <c:order val="0"/>
          <c:tx>
            <c:v>Realisert</c:v>
          </c:tx>
          <c:spPr>
            <a:ln w="25400">
              <a:solidFill>
                <a:schemeClr val="tx1"/>
              </a:solidFill>
              <a:tailEnd type="triangle"/>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Trend'!$O$6:$O$15</c:f>
              <c:numCache>
                <c:formatCode>_(* #\ ##0_);_(* \(#\ ##0\);_(* "-"??_);_(@_)</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78A9-424F-BEC2-0FBCA0582385}"/>
            </c:ext>
          </c:extLst>
        </c:ser>
        <c:ser>
          <c:idx val="1"/>
          <c:order val="1"/>
          <c:tx>
            <c:v>Fjorår</c:v>
          </c:tx>
          <c:spPr>
            <a:ln>
              <a:solidFill>
                <a:srgbClr val="4F81BD"/>
              </a:solidFill>
              <a:prstDash val="sysDash"/>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Trend'!$P$6:$P$15</c:f>
              <c:numCache>
                <c:formatCode>_ * #\ ##0_ ;_ * \-#\ ##0_ ;_ * "-"??_ ;_ @_ </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78A9-424F-BEC2-0FBCA0582385}"/>
            </c:ext>
          </c:extLst>
        </c:ser>
        <c:dLbls>
          <c:showLegendKey val="0"/>
          <c:showVal val="0"/>
          <c:showCatName val="0"/>
          <c:showSerName val="0"/>
          <c:showPercent val="0"/>
          <c:showBubbleSize val="0"/>
        </c:dLbls>
        <c:smooth val="0"/>
        <c:axId val="485347840"/>
        <c:axId val="485348232"/>
      </c:lineChart>
      <c:catAx>
        <c:axId val="485347840"/>
        <c:scaling>
          <c:orientation val="minMax"/>
        </c:scaling>
        <c:delete val="0"/>
        <c:axPos val="b"/>
        <c:numFmt formatCode="General" sourceLinked="1"/>
        <c:majorTickMark val="none"/>
        <c:minorTickMark val="none"/>
        <c:tickLblPos val="nextTo"/>
        <c:crossAx val="485348232"/>
        <c:crosses val="autoZero"/>
        <c:auto val="1"/>
        <c:lblAlgn val="ctr"/>
        <c:lblOffset val="100"/>
        <c:noMultiLvlLbl val="0"/>
      </c:catAx>
      <c:valAx>
        <c:axId val="485348232"/>
        <c:scaling>
          <c:orientation val="minMax"/>
          <c:min val="150"/>
        </c:scaling>
        <c:delete val="0"/>
        <c:axPos val="l"/>
        <c:majorGridlines/>
        <c:numFmt formatCode="_(* #\ ##0_);_(* \(#\ ##0\);_(* &quot;-&quot;??_);_(@_)" sourceLinked="1"/>
        <c:majorTickMark val="none"/>
        <c:minorTickMark val="none"/>
        <c:tickLblPos val="nextTo"/>
        <c:spPr>
          <a:ln w="9525">
            <a:noFill/>
          </a:ln>
        </c:spPr>
        <c:crossAx val="485347840"/>
        <c:crosses val="autoZero"/>
        <c:crossBetween val="between"/>
      </c:valAx>
    </c:plotArea>
    <c:legend>
      <c:legendPos val="b"/>
      <c:layout/>
      <c:overlay val="0"/>
    </c:legend>
    <c:plotVisOnly val="1"/>
    <c:dispBlanksAs val="gap"/>
    <c:showDLblsOverMax val="0"/>
  </c:chart>
  <c:printSettings>
    <c:headerFooter/>
    <c:pageMargins b="0.75000000000000444" l="0.70000000000000062" r="0.70000000000000062" t="0.750000000000004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Markdown % Trend</a:t>
            </a:r>
          </a:p>
        </c:rich>
      </c:tx>
      <c:layout/>
      <c:overlay val="0"/>
    </c:title>
    <c:autoTitleDeleted val="0"/>
    <c:plotArea>
      <c:layout/>
      <c:lineChart>
        <c:grouping val="standard"/>
        <c:varyColors val="0"/>
        <c:ser>
          <c:idx val="1"/>
          <c:order val="0"/>
          <c:tx>
            <c:strRef>
              <c:f>'Store Trend'!$R$5</c:f>
              <c:strCache>
                <c:ptCount val="1"/>
                <c:pt idx="0">
                  <c:v>MD i år</c:v>
                </c:pt>
              </c:strCache>
            </c:strRef>
          </c:tx>
          <c:spPr>
            <a:ln w="22225">
              <a:solidFill>
                <a:schemeClr val="tx1"/>
              </a:solidFill>
              <a:prstDash val="solid"/>
              <a:tailEnd type="triangle"/>
            </a:ln>
          </c:spPr>
          <c:marker>
            <c:symbol val="none"/>
          </c:marker>
          <c:cat>
            <c:numRef>
              <c:f>'Store Trend'!$A$6:$A$15</c:f>
              <c:numCache>
                <c:formatCode>General</c:formatCode>
                <c:ptCount val="10"/>
                <c:pt idx="0">
                  <c:v>-8</c:v>
                </c:pt>
                <c:pt idx="1">
                  <c:v>-7</c:v>
                </c:pt>
                <c:pt idx="2">
                  <c:v>-6</c:v>
                </c:pt>
                <c:pt idx="3">
                  <c:v>-5</c:v>
                </c:pt>
                <c:pt idx="4">
                  <c:v>-4</c:v>
                </c:pt>
                <c:pt idx="5">
                  <c:v>-3</c:v>
                </c:pt>
                <c:pt idx="6">
                  <c:v>-2</c:v>
                </c:pt>
                <c:pt idx="7">
                  <c:v>-1</c:v>
                </c:pt>
                <c:pt idx="8">
                  <c:v>0</c:v>
                </c:pt>
                <c:pt idx="9">
                  <c:v>1</c:v>
                </c:pt>
              </c:numCache>
            </c:numRef>
          </c:cat>
          <c:val>
            <c:numRef>
              <c:f>'Store Trend'!$R$6:$R$15</c:f>
              <c:numCache>
                <c:formatCode>0.00%</c:formatCode>
                <c:ptCount val="10"/>
              </c:numCache>
            </c:numRef>
          </c:val>
          <c:smooth val="0"/>
          <c:extLst>
            <c:ext xmlns:c16="http://schemas.microsoft.com/office/drawing/2014/chart" uri="{C3380CC4-5D6E-409C-BE32-E72D297353CC}">
              <c16:uniqueId val="{00000000-3B5A-4DD6-A926-F867ECC09E92}"/>
            </c:ext>
          </c:extLst>
        </c:ser>
        <c:ser>
          <c:idx val="0"/>
          <c:order val="1"/>
          <c:tx>
            <c:strRef>
              <c:f>'Store Trend'!$Q$5</c:f>
              <c:strCache>
                <c:ptCount val="1"/>
                <c:pt idx="0">
                  <c:v>MD i fjor</c:v>
                </c:pt>
              </c:strCache>
            </c:strRef>
          </c:tx>
          <c:spPr>
            <a:ln w="22225">
              <a:prstDash val="sysDash"/>
            </a:ln>
          </c:spPr>
          <c:marker>
            <c:symbol val="none"/>
          </c:marker>
          <c:val>
            <c:numRef>
              <c:f>'Store Trend'!$Q$6:$Q$15</c:f>
              <c:numCache>
                <c:formatCode>0.00%</c:formatCode>
                <c:ptCount val="10"/>
              </c:numCache>
            </c:numRef>
          </c:val>
          <c:smooth val="0"/>
          <c:extLst>
            <c:ext xmlns:c16="http://schemas.microsoft.com/office/drawing/2014/chart" uri="{C3380CC4-5D6E-409C-BE32-E72D297353CC}">
              <c16:uniqueId val="{00000001-3B5A-4DD6-A926-F867ECC09E92}"/>
            </c:ext>
          </c:extLst>
        </c:ser>
        <c:dLbls>
          <c:showLegendKey val="0"/>
          <c:showVal val="0"/>
          <c:showCatName val="0"/>
          <c:showSerName val="0"/>
          <c:showPercent val="0"/>
          <c:showBubbleSize val="0"/>
        </c:dLbls>
        <c:smooth val="0"/>
        <c:axId val="484204544"/>
        <c:axId val="484204152"/>
      </c:lineChart>
      <c:catAx>
        <c:axId val="484204544"/>
        <c:scaling>
          <c:orientation val="minMax"/>
        </c:scaling>
        <c:delete val="0"/>
        <c:axPos val="t"/>
        <c:numFmt formatCode="General" sourceLinked="1"/>
        <c:majorTickMark val="none"/>
        <c:minorTickMark val="none"/>
        <c:tickLblPos val="nextTo"/>
        <c:crossAx val="484204152"/>
        <c:crosses val="autoZero"/>
        <c:auto val="1"/>
        <c:lblAlgn val="ctr"/>
        <c:lblOffset val="100"/>
        <c:noMultiLvlLbl val="0"/>
      </c:catAx>
      <c:valAx>
        <c:axId val="484204152"/>
        <c:scaling>
          <c:orientation val="maxMin"/>
        </c:scaling>
        <c:delete val="0"/>
        <c:axPos val="l"/>
        <c:majorGridlines/>
        <c:numFmt formatCode="0.00%" sourceLinked="1"/>
        <c:majorTickMark val="none"/>
        <c:minorTickMark val="none"/>
        <c:tickLblPos val="nextTo"/>
        <c:spPr>
          <a:ln w="9525">
            <a:noFill/>
          </a:ln>
        </c:spPr>
        <c:crossAx val="484204544"/>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nb-NO"/>
              <a:t>Bruttomargin etter Lønn og Svinn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nb-NO"/>
        </a:p>
      </c:txPr>
    </c:title>
    <c:autoTitleDeleted val="0"/>
    <c:plotArea>
      <c:layout/>
      <c:barChart>
        <c:barDir val="col"/>
        <c:grouping val="stacked"/>
        <c:varyColors val="0"/>
        <c:ser>
          <c:idx val="2"/>
          <c:order val="2"/>
          <c:tx>
            <c:v>Brutto</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'Min Butikk'!$A$8:$A$60</c:f>
              <c:numCache>
                <c:formatCode>General</c:formatCode>
                <c:ptCount val="53"/>
              </c:numCache>
            </c:numRef>
          </c:cat>
          <c:val>
            <c:numRef>
              <c:f>'Min Butikk'!$Z$8:$Z$60</c:f>
              <c:numCache>
                <c:formatCode>0.0\ %</c:formatCode>
                <c:ptCount val="53"/>
              </c:numCache>
            </c:numRef>
          </c:val>
          <c:extLst>
            <c:ext xmlns:c16="http://schemas.microsoft.com/office/drawing/2014/chart" uri="{C3380CC4-5D6E-409C-BE32-E72D297353CC}">
              <c16:uniqueId val="{00000000-D530-4441-90F7-A52861D22299}"/>
            </c:ext>
          </c:extLst>
        </c:ser>
        <c:dLbls>
          <c:showLegendKey val="0"/>
          <c:showVal val="0"/>
          <c:showCatName val="0"/>
          <c:showSerName val="0"/>
          <c:showPercent val="0"/>
          <c:showBubbleSize val="0"/>
        </c:dLbls>
        <c:gapWidth val="269"/>
        <c:overlap val="100"/>
        <c:axId val="484202584"/>
        <c:axId val="484198664"/>
      </c:barChart>
      <c:barChart>
        <c:barDir val="col"/>
        <c:grouping val="stacked"/>
        <c:varyColors val="0"/>
        <c:ser>
          <c:idx val="0"/>
          <c:order val="0"/>
          <c:tx>
            <c:v>Lønn</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'Min Butikk'!$A$8:$A$60</c:f>
              <c:numCache>
                <c:formatCode>General</c:formatCode>
                <c:ptCount val="53"/>
              </c:numCache>
            </c:numRef>
          </c:cat>
          <c:val>
            <c:numRef>
              <c:f>'Min Butikk'!$O$8:$O$61</c:f>
              <c:numCache>
                <c:formatCode>0.00%</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extLst>
            <c:ext xmlns:c16="http://schemas.microsoft.com/office/drawing/2014/chart" uri="{C3380CC4-5D6E-409C-BE32-E72D297353CC}">
              <c16:uniqueId val="{00000001-D530-4441-90F7-A52861D22299}"/>
            </c:ext>
          </c:extLst>
        </c:ser>
        <c:ser>
          <c:idx val="1"/>
          <c:order val="1"/>
          <c:tx>
            <c:v>Svinn</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'Min Butikk'!$A$8:$A$60</c:f>
              <c:numCache>
                <c:formatCode>General</c:formatCode>
                <c:ptCount val="53"/>
              </c:numCache>
            </c:numRef>
          </c:cat>
          <c:val>
            <c:numRef>
              <c:f>'Min Butikk'!$W$8:$W$60</c:f>
              <c:numCache>
                <c:formatCode>0.00%</c:formatCode>
                <c:ptCount val="53"/>
              </c:numCache>
            </c:numRef>
          </c:val>
          <c:extLst>
            <c:ext xmlns:c16="http://schemas.microsoft.com/office/drawing/2014/chart" uri="{C3380CC4-5D6E-409C-BE32-E72D297353CC}">
              <c16:uniqueId val="{00000002-D530-4441-90F7-A52861D22299}"/>
            </c:ext>
          </c:extLst>
        </c:ser>
        <c:dLbls>
          <c:showLegendKey val="0"/>
          <c:showVal val="0"/>
          <c:showCatName val="0"/>
          <c:showSerName val="0"/>
          <c:showPercent val="0"/>
          <c:showBubbleSize val="0"/>
        </c:dLbls>
        <c:gapWidth val="269"/>
        <c:overlap val="100"/>
        <c:axId val="484188864"/>
        <c:axId val="484192000"/>
      </c:barChart>
      <c:lineChart>
        <c:grouping val="standard"/>
        <c:varyColors val="0"/>
        <c:ser>
          <c:idx val="3"/>
          <c:order val="3"/>
          <c:tx>
            <c:v>Margin</c:v>
          </c:tx>
          <c:spPr>
            <a:ln w="34925" cap="rnd">
              <a:solidFill>
                <a:schemeClr val="accent4"/>
              </a:solidFill>
              <a:round/>
            </a:ln>
            <a:effectLst>
              <a:outerShdw blurRad="40000" dist="23000" dir="5400000" rotWithShape="0">
                <a:srgbClr val="000000">
                  <a:alpha val="35000"/>
                </a:srgbClr>
              </a:outerShdw>
            </a:effectLst>
          </c:spPr>
          <c:marker>
            <c:symbol val="none"/>
          </c:marker>
          <c:cat>
            <c:numRef>
              <c:f>'Min Butikk'!$A$8:$A$60</c:f>
              <c:numCache>
                <c:formatCode>General</c:formatCode>
                <c:ptCount val="53"/>
              </c:numCache>
            </c:numRef>
          </c:cat>
          <c:val>
            <c:numRef>
              <c:f>'Min Butikk'!$AF$8:$AF$61</c:f>
              <c:numCache>
                <c:formatCode>0.00%</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3-D530-4441-90F7-A52861D22299}"/>
            </c:ext>
          </c:extLst>
        </c:ser>
        <c:dLbls>
          <c:showLegendKey val="0"/>
          <c:showVal val="0"/>
          <c:showCatName val="0"/>
          <c:showSerName val="0"/>
          <c:showPercent val="0"/>
          <c:showBubbleSize val="0"/>
        </c:dLbls>
        <c:marker val="1"/>
        <c:smooth val="0"/>
        <c:axId val="484202584"/>
        <c:axId val="484198664"/>
      </c:lineChart>
      <c:catAx>
        <c:axId val="48420258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84198664"/>
        <c:crosses val="autoZero"/>
        <c:auto val="1"/>
        <c:lblAlgn val="ctr"/>
        <c:lblOffset val="100"/>
        <c:noMultiLvlLbl val="0"/>
      </c:catAx>
      <c:valAx>
        <c:axId val="484198664"/>
        <c:scaling>
          <c:orientation val="minMax"/>
          <c:max val="0.30000000000000032"/>
          <c:min val="0"/>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84202584"/>
        <c:crosses val="autoZero"/>
        <c:crossBetween val="between"/>
        <c:majorUnit val="0.05"/>
      </c:valAx>
      <c:valAx>
        <c:axId val="484192000"/>
        <c:scaling>
          <c:orientation val="maxMin"/>
          <c:max val="0"/>
          <c:min val="-0.30000000000000032"/>
        </c:scaling>
        <c:delete val="0"/>
        <c:axPos val="r"/>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484188864"/>
        <c:crosses val="max"/>
        <c:crossBetween val="between"/>
        <c:majorUnit val="0.05"/>
      </c:valAx>
      <c:catAx>
        <c:axId val="484188864"/>
        <c:scaling>
          <c:orientation val="minMax"/>
        </c:scaling>
        <c:delete val="1"/>
        <c:axPos val="t"/>
        <c:numFmt formatCode="General" sourceLinked="1"/>
        <c:majorTickMark val="none"/>
        <c:minorTickMark val="none"/>
        <c:tickLblPos val="none"/>
        <c:crossAx val="4841920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Lønns % Akkumulert</a:t>
            </a:r>
          </a:p>
        </c:rich>
      </c:tx>
      <c:layout>
        <c:manualLayout>
          <c:xMode val="edge"/>
          <c:yMode val="edge"/>
          <c:x val="0.39212536728701847"/>
          <c:y val="2.3880597014925616E-2"/>
        </c:manualLayout>
      </c:layout>
      <c:overlay val="0"/>
    </c:title>
    <c:autoTitleDeleted val="0"/>
    <c:plotArea>
      <c:layout/>
      <c:lineChart>
        <c:grouping val="standard"/>
        <c:varyColors val="0"/>
        <c:ser>
          <c:idx val="0"/>
          <c:order val="0"/>
          <c:tx>
            <c:strRef>
              <c:f>Simulator!$M$6</c:f>
              <c:strCache>
                <c:ptCount val="1"/>
                <c:pt idx="0">
                  <c:v>Budsjett</c:v>
                </c:pt>
              </c:strCache>
            </c:strRef>
          </c:tx>
          <c:spPr>
            <a:ln>
              <a:tailEnd type="triangle"/>
            </a:ln>
          </c:spPr>
          <c:marker>
            <c:symbol val="none"/>
          </c:marker>
          <c:cat>
            <c:numRef>
              <c:f>Simulator!$A$7:$A$59</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cat>
          <c:val>
            <c:numRef>
              <c:f>Simulator!$M$7:$M$60</c:f>
              <c:numCache>
                <c:formatCode>0.00%</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0-9671-48D0-BC09-21940176BB40}"/>
            </c:ext>
          </c:extLst>
        </c:ser>
        <c:ser>
          <c:idx val="1"/>
          <c:order val="1"/>
          <c:tx>
            <c:strRef>
              <c:f>Simulator!$L$6</c:f>
              <c:strCache>
                <c:ptCount val="1"/>
                <c:pt idx="0">
                  <c:v>Realisert</c:v>
                </c:pt>
              </c:strCache>
            </c:strRef>
          </c:tx>
          <c:spPr>
            <a:ln>
              <a:tailEnd type="triangle"/>
            </a:ln>
          </c:spPr>
          <c:marker>
            <c:symbol val="none"/>
          </c:marker>
          <c:cat>
            <c:numRef>
              <c:f>Simulator!$A$7:$A$59</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cat>
          <c:val>
            <c:numRef>
              <c:f>Simulator!$L$7:$L$60</c:f>
              <c:numCache>
                <c:formatCode>0.00%</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1"/>
          <c:extLst>
            <c:ext xmlns:c16="http://schemas.microsoft.com/office/drawing/2014/chart" uri="{C3380CC4-5D6E-409C-BE32-E72D297353CC}">
              <c16:uniqueId val="{00000001-9671-48D0-BC09-21940176BB40}"/>
            </c:ext>
          </c:extLst>
        </c:ser>
        <c:ser>
          <c:idx val="2"/>
          <c:order val="2"/>
          <c:tx>
            <c:v>Bud 15</c:v>
          </c:tx>
          <c:marker>
            <c:symbol val="none"/>
          </c:marker>
          <c:val>
            <c:numRef>
              <c:f>Simulator!$R$7:$R$59</c:f>
              <c:numCache>
                <c:formatCode>0.00%</c:formatCode>
                <c:ptCount val="53"/>
              </c:numCache>
            </c:numRef>
          </c:val>
          <c:smooth val="0"/>
          <c:extLst>
            <c:ext xmlns:c16="http://schemas.microsoft.com/office/drawing/2014/chart" uri="{C3380CC4-5D6E-409C-BE32-E72D297353CC}">
              <c16:uniqueId val="{00000002-9671-48D0-BC09-21940176BB40}"/>
            </c:ext>
          </c:extLst>
        </c:ser>
        <c:dLbls>
          <c:showLegendKey val="0"/>
          <c:showVal val="0"/>
          <c:showCatName val="0"/>
          <c:showSerName val="0"/>
          <c:showPercent val="0"/>
          <c:showBubbleSize val="0"/>
        </c:dLbls>
        <c:smooth val="0"/>
        <c:axId val="484192784"/>
        <c:axId val="484193176"/>
      </c:lineChart>
      <c:catAx>
        <c:axId val="484192784"/>
        <c:scaling>
          <c:orientation val="minMax"/>
        </c:scaling>
        <c:delete val="0"/>
        <c:axPos val="b"/>
        <c:numFmt formatCode="General" sourceLinked="1"/>
        <c:majorTickMark val="none"/>
        <c:minorTickMark val="none"/>
        <c:tickLblPos val="nextTo"/>
        <c:crossAx val="484193176"/>
        <c:crosses val="autoZero"/>
        <c:auto val="1"/>
        <c:lblAlgn val="ctr"/>
        <c:lblOffset val="100"/>
        <c:noMultiLvlLbl val="0"/>
      </c:catAx>
      <c:valAx>
        <c:axId val="484193176"/>
        <c:scaling>
          <c:orientation val="minMax"/>
          <c:max val="0.16000000000000003"/>
          <c:min val="8.0000000000000043E-2"/>
        </c:scaling>
        <c:delete val="0"/>
        <c:axPos val="l"/>
        <c:majorGridlines/>
        <c:minorGridlines/>
        <c:numFmt formatCode="0.00%" sourceLinked="0"/>
        <c:majorTickMark val="none"/>
        <c:minorTickMark val="none"/>
        <c:tickLblPos val="nextTo"/>
        <c:spPr>
          <a:ln w="9525">
            <a:noFill/>
          </a:ln>
        </c:spPr>
        <c:crossAx val="484192784"/>
        <c:crosses val="autoZero"/>
        <c:crossBetween val="between"/>
      </c:valAx>
    </c:plotArea>
    <c:legend>
      <c:legendPos val="b"/>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Realisert</c:v>
          </c:tx>
          <c:marker>
            <c:symbol val="none"/>
          </c:marker>
          <c:cat>
            <c:numRef>
              <c:f>Simulator!$A$7:$A$60</c:f>
              <c:numCache>
                <c:formatCode>General</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cat>
          <c:val>
            <c:numRef>
              <c:f>Simulator!$B$7:$B$60</c:f>
              <c:numCache>
                <c:formatCode>_(* #\ ##0_);_(* \(#\ ##0\);_(* "-"??_);_(@_)</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1"/>
          <c:extLst>
            <c:ext xmlns:c16="http://schemas.microsoft.com/office/drawing/2014/chart" uri="{C3380CC4-5D6E-409C-BE32-E72D297353CC}">
              <c16:uniqueId val="{00000000-F956-4049-9C45-BF19352F891C}"/>
            </c:ext>
          </c:extLst>
        </c:ser>
        <c:ser>
          <c:idx val="1"/>
          <c:order val="1"/>
          <c:tx>
            <c:v>Budsjett</c:v>
          </c:tx>
          <c:marker>
            <c:symbol val="none"/>
          </c:marker>
          <c:cat>
            <c:numRef>
              <c:f>Simulator!$A$7:$A$60</c:f>
              <c:numCache>
                <c:formatCode>General</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cat>
          <c:val>
            <c:numRef>
              <c:f>Simulator!$C$7:$C$60</c:f>
              <c:numCache>
                <c:formatCode>_(* #\ ##0_);_(* \(#\ ##0\);_(* "-"??_);_(@_)</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1"/>
          <c:extLst>
            <c:ext xmlns:c16="http://schemas.microsoft.com/office/drawing/2014/chart" uri="{C3380CC4-5D6E-409C-BE32-E72D297353CC}">
              <c16:uniqueId val="{00000001-F956-4049-9C45-BF19352F891C}"/>
            </c:ext>
          </c:extLst>
        </c:ser>
        <c:dLbls>
          <c:showLegendKey val="0"/>
          <c:showVal val="0"/>
          <c:showCatName val="0"/>
          <c:showSerName val="0"/>
          <c:showPercent val="0"/>
          <c:showBubbleSize val="0"/>
        </c:dLbls>
        <c:smooth val="0"/>
        <c:axId val="571520352"/>
        <c:axId val="571521528"/>
      </c:lineChart>
      <c:catAx>
        <c:axId val="571520352"/>
        <c:scaling>
          <c:orientation val="minMax"/>
        </c:scaling>
        <c:delete val="0"/>
        <c:axPos val="b"/>
        <c:numFmt formatCode="General" sourceLinked="1"/>
        <c:majorTickMark val="out"/>
        <c:minorTickMark val="none"/>
        <c:tickLblPos val="nextTo"/>
        <c:crossAx val="571521528"/>
        <c:crosses val="autoZero"/>
        <c:auto val="1"/>
        <c:lblAlgn val="ctr"/>
        <c:lblOffset val="100"/>
        <c:noMultiLvlLbl val="0"/>
      </c:catAx>
      <c:valAx>
        <c:axId val="571521528"/>
        <c:scaling>
          <c:orientation val="minMax"/>
        </c:scaling>
        <c:delete val="0"/>
        <c:axPos val="l"/>
        <c:majorGridlines/>
        <c:numFmt formatCode="_(* #\ ##0_);_(* \(#\ ##0\);_(* &quot;-&quot;??_);_(@_)" sourceLinked="1"/>
        <c:majorTickMark val="out"/>
        <c:minorTickMark val="none"/>
        <c:tickLblPos val="nextTo"/>
        <c:crossAx val="571520352"/>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LønnsReserver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Simulator!$Q$7:$Q$60</c:f>
              <c:numCache>
                <c:formatCode>_(* #\ ##0_);_(* \(#\ ##0\);_(* "-"??_);_(@_)</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1"/>
          <c:extLst>
            <c:ext xmlns:c16="http://schemas.microsoft.com/office/drawing/2014/chart" uri="{C3380CC4-5D6E-409C-BE32-E72D297353CC}">
              <c16:uniqueId val="{00000000-462B-489B-AFA2-E2468B18A359}"/>
            </c:ext>
          </c:extLst>
        </c:ser>
        <c:dLbls>
          <c:showLegendKey val="0"/>
          <c:showVal val="0"/>
          <c:showCatName val="0"/>
          <c:showSerName val="0"/>
          <c:showPercent val="0"/>
          <c:showBubbleSize val="0"/>
        </c:dLbls>
        <c:smooth val="0"/>
        <c:axId val="571521920"/>
        <c:axId val="571523096"/>
      </c:lineChart>
      <c:catAx>
        <c:axId val="5715219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571523096"/>
        <c:crosses val="autoZero"/>
        <c:auto val="1"/>
        <c:lblAlgn val="ctr"/>
        <c:lblOffset val="100"/>
        <c:noMultiLvlLbl val="0"/>
      </c:catAx>
      <c:valAx>
        <c:axId val="571523096"/>
        <c:scaling>
          <c:orientation val="minMax"/>
        </c:scaling>
        <c:delete val="0"/>
        <c:axPos val="l"/>
        <c:majorGridlines>
          <c:spPr>
            <a:ln w="9525" cap="flat" cmpd="sng" algn="ctr">
              <a:solidFill>
                <a:schemeClr val="tx1">
                  <a:lumMod val="15000"/>
                  <a:lumOff val="85000"/>
                </a:schemeClr>
              </a:solidFill>
              <a:round/>
            </a:ln>
            <a:effectLst/>
          </c:spPr>
        </c:majorGridlines>
        <c:numFmt formatCode="_(* #\ ##0_);_(* \(#\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571521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a:pPr>
            <a:r>
              <a:rPr lang="nb-NO" sz="1050"/>
              <a:t>Fraværstimer</a:t>
            </a:r>
            <a:r>
              <a:rPr lang="nb-NO" sz="1050" baseline="0"/>
              <a:t> pr uke</a:t>
            </a:r>
            <a:endParaRPr lang="nb-NO" sz="1050"/>
          </a:p>
        </c:rich>
      </c:tx>
      <c:layout/>
      <c:overlay val="1"/>
    </c:title>
    <c:autoTitleDeleted val="0"/>
    <c:plotArea>
      <c:layout/>
      <c:barChart>
        <c:barDir val="col"/>
        <c:grouping val="clustered"/>
        <c:varyColors val="0"/>
        <c:ser>
          <c:idx val="0"/>
          <c:order val="0"/>
          <c:tx>
            <c:v>Timer i år</c:v>
          </c:tx>
          <c:spPr>
            <a:ln w="28575">
              <a:noFill/>
            </a:ln>
          </c:spPr>
          <c:invertIfNegative val="0"/>
          <c:cat>
            <c:numRef>
              <c:f>Sykefravær!$A$6:$A$59</c:f>
              <c:numCache>
                <c:formatCode>General</c:formatCode>
                <c:ptCount val="5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numCache>
            </c:numRef>
          </c:cat>
          <c:val>
            <c:numRef>
              <c:f>Sykefravær!$B$6:$B$59</c:f>
              <c:numCache>
                <c:formatCode>_(* #\ ##0_);_(* \(#\ ##0\);_(* "-"??_);_(@_)</c:formatCode>
                <c:ptCount val="54"/>
                <c:pt idx="1">
                  <c:v>0</c:v>
                </c:pt>
              </c:numCache>
            </c:numRef>
          </c:val>
          <c:extLst>
            <c:ext xmlns:c16="http://schemas.microsoft.com/office/drawing/2014/chart" uri="{C3380CC4-5D6E-409C-BE32-E72D297353CC}">
              <c16:uniqueId val="{00000000-3A8D-405B-B812-79DEBF963602}"/>
            </c:ext>
          </c:extLst>
        </c:ser>
        <c:ser>
          <c:idx val="1"/>
          <c:order val="1"/>
          <c:tx>
            <c:v>Timer i fjor</c:v>
          </c:tx>
          <c:spPr>
            <a:ln w="28575">
              <a:noFill/>
            </a:ln>
          </c:spPr>
          <c:invertIfNegative val="0"/>
          <c:cat>
            <c:numRef>
              <c:f>Sykefravær!$A$6:$A$59</c:f>
              <c:numCache>
                <c:formatCode>General</c:formatCode>
                <c:ptCount val="5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numCache>
            </c:numRef>
          </c:cat>
          <c:val>
            <c:numRef>
              <c:f>Sykefravær!$E$6:$E$59</c:f>
              <c:numCache>
                <c:formatCode>_(* #\ ##0_);_(* \(#\ ##0\);_(* "-"??_);_(@_)</c:formatCode>
                <c:ptCount val="54"/>
                <c:pt idx="1">
                  <c:v>114</c:v>
                </c:pt>
                <c:pt idx="2">
                  <c:v>34</c:v>
                </c:pt>
                <c:pt idx="3">
                  <c:v>54</c:v>
                </c:pt>
                <c:pt idx="4">
                  <c:v>6</c:v>
                </c:pt>
                <c:pt idx="5">
                  <c:v>23</c:v>
                </c:pt>
                <c:pt idx="6">
                  <c:v>68</c:v>
                </c:pt>
                <c:pt idx="7">
                  <c:v>33</c:v>
                </c:pt>
                <c:pt idx="8">
                  <c:v>0</c:v>
                </c:pt>
                <c:pt idx="9">
                  <c:v>15</c:v>
                </c:pt>
                <c:pt idx="10">
                  <c:v>38</c:v>
                </c:pt>
                <c:pt idx="11">
                  <c:v>47</c:v>
                </c:pt>
                <c:pt idx="12">
                  <c:v>0</c:v>
                </c:pt>
                <c:pt idx="13">
                  <c:v>0</c:v>
                </c:pt>
                <c:pt idx="14">
                  <c:v>5</c:v>
                </c:pt>
                <c:pt idx="15">
                  <c:v>0</c:v>
                </c:pt>
                <c:pt idx="16">
                  <c:v>13</c:v>
                </c:pt>
                <c:pt idx="17">
                  <c:v>4</c:v>
                </c:pt>
                <c:pt idx="18">
                  <c:v>9</c:v>
                </c:pt>
                <c:pt idx="19">
                  <c:v>6</c:v>
                </c:pt>
                <c:pt idx="20">
                  <c:v>5</c:v>
                </c:pt>
                <c:pt idx="21">
                  <c:v>0</c:v>
                </c:pt>
                <c:pt idx="22">
                  <c:v>0</c:v>
                </c:pt>
                <c:pt idx="23">
                  <c:v>18</c:v>
                </c:pt>
                <c:pt idx="24">
                  <c:v>22</c:v>
                </c:pt>
                <c:pt idx="25">
                  <c:v>0</c:v>
                </c:pt>
                <c:pt idx="26">
                  <c:v>0</c:v>
                </c:pt>
                <c:pt idx="27">
                  <c:v>0</c:v>
                </c:pt>
                <c:pt idx="28">
                  <c:v>0</c:v>
                </c:pt>
                <c:pt idx="29">
                  <c:v>0</c:v>
                </c:pt>
                <c:pt idx="30">
                  <c:v>6</c:v>
                </c:pt>
                <c:pt idx="31">
                  <c:v>4</c:v>
                </c:pt>
                <c:pt idx="32">
                  <c:v>19</c:v>
                </c:pt>
                <c:pt idx="33">
                  <c:v>19</c:v>
                </c:pt>
                <c:pt idx="34">
                  <c:v>9</c:v>
                </c:pt>
                <c:pt idx="35">
                  <c:v>0</c:v>
                </c:pt>
                <c:pt idx="36">
                  <c:v>23</c:v>
                </c:pt>
                <c:pt idx="37">
                  <c:v>52</c:v>
                </c:pt>
                <c:pt idx="38">
                  <c:v>41</c:v>
                </c:pt>
                <c:pt idx="39">
                  <c:v>11</c:v>
                </c:pt>
                <c:pt idx="40">
                  <c:v>0</c:v>
                </c:pt>
                <c:pt idx="41">
                  <c:v>0</c:v>
                </c:pt>
                <c:pt idx="42">
                  <c:v>23</c:v>
                </c:pt>
                <c:pt idx="43">
                  <c:v>0</c:v>
                </c:pt>
                <c:pt idx="44">
                  <c:v>0</c:v>
                </c:pt>
                <c:pt idx="45">
                  <c:v>0</c:v>
                </c:pt>
                <c:pt idx="46">
                  <c:v>0</c:v>
                </c:pt>
                <c:pt idx="47">
                  <c:v>0</c:v>
                </c:pt>
                <c:pt idx="48">
                  <c:v>0</c:v>
                </c:pt>
                <c:pt idx="49">
                  <c:v>0</c:v>
                </c:pt>
                <c:pt idx="50">
                  <c:v>0</c:v>
                </c:pt>
                <c:pt idx="51">
                  <c:v>0</c:v>
                </c:pt>
                <c:pt idx="52">
                  <c:v>0</c:v>
                </c:pt>
                <c:pt idx="53">
                  <c:v>0</c:v>
                </c:pt>
              </c:numCache>
            </c:numRef>
          </c:val>
          <c:extLst>
            <c:ext xmlns:c16="http://schemas.microsoft.com/office/drawing/2014/chart" uri="{C3380CC4-5D6E-409C-BE32-E72D297353CC}">
              <c16:uniqueId val="{00000001-3A8D-405B-B812-79DEBF963602}"/>
            </c:ext>
          </c:extLst>
        </c:ser>
        <c:dLbls>
          <c:showLegendKey val="0"/>
          <c:showVal val="0"/>
          <c:showCatName val="0"/>
          <c:showSerName val="0"/>
          <c:showPercent val="0"/>
          <c:showBubbleSize val="0"/>
        </c:dLbls>
        <c:gapWidth val="150"/>
        <c:axId val="571520744"/>
        <c:axId val="571528192"/>
      </c:barChart>
      <c:catAx>
        <c:axId val="571520744"/>
        <c:scaling>
          <c:orientation val="minMax"/>
        </c:scaling>
        <c:delete val="0"/>
        <c:axPos val="b"/>
        <c:numFmt formatCode="General" sourceLinked="1"/>
        <c:majorTickMark val="none"/>
        <c:minorTickMark val="none"/>
        <c:tickLblPos val="nextTo"/>
        <c:txPr>
          <a:bodyPr/>
          <a:lstStyle/>
          <a:p>
            <a:pPr>
              <a:defRPr sz="600"/>
            </a:pPr>
            <a:endParaRPr lang="nb-NO"/>
          </a:p>
        </c:txPr>
        <c:crossAx val="571528192"/>
        <c:crosses val="autoZero"/>
        <c:auto val="1"/>
        <c:lblAlgn val="ctr"/>
        <c:lblOffset val="100"/>
        <c:noMultiLvlLbl val="0"/>
      </c:catAx>
      <c:valAx>
        <c:axId val="571528192"/>
        <c:scaling>
          <c:orientation val="minMax"/>
        </c:scaling>
        <c:delete val="0"/>
        <c:axPos val="l"/>
        <c:numFmt formatCode="_(* #\ ##0_);_(* \(#\ ##0\);_(* &quot;-&quot;??_);_(@_)" sourceLinked="1"/>
        <c:majorTickMark val="none"/>
        <c:minorTickMark val="none"/>
        <c:tickLblPos val="nextTo"/>
        <c:crossAx val="571520744"/>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a:pPr>
            <a:r>
              <a:rPr lang="nb-NO" sz="1050"/>
              <a:t>Fraværstimer</a:t>
            </a:r>
            <a:r>
              <a:rPr lang="nb-NO" sz="1050" baseline="0"/>
              <a:t> akkumulert</a:t>
            </a:r>
            <a:endParaRPr lang="nb-NO" sz="1050"/>
          </a:p>
        </c:rich>
      </c:tx>
      <c:layout/>
      <c:overlay val="1"/>
    </c:title>
    <c:autoTitleDeleted val="0"/>
    <c:plotArea>
      <c:layout/>
      <c:lineChart>
        <c:grouping val="standard"/>
        <c:varyColors val="0"/>
        <c:ser>
          <c:idx val="0"/>
          <c:order val="0"/>
          <c:tx>
            <c:v>Akk Timer i år</c:v>
          </c:tx>
          <c:marker>
            <c:symbol val="none"/>
          </c:marker>
          <c:cat>
            <c:numRef>
              <c:f>Sykefravær!$A$6:$A$59</c:f>
              <c:numCache>
                <c:formatCode>General</c:formatCode>
                <c:ptCount val="5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numCache>
            </c:numRef>
          </c:cat>
          <c:val>
            <c:numRef>
              <c:f>Sykefravær!$H$6:$H$59</c:f>
              <c:numCache>
                <c:formatCode>_(* #\ ##0_);_(* \(#\ ##0\);_(* "-"??_);_(@_)</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0-8E2F-4728-A3F0-6B031781DAC5}"/>
            </c:ext>
          </c:extLst>
        </c:ser>
        <c:ser>
          <c:idx val="1"/>
          <c:order val="1"/>
          <c:tx>
            <c:v>Akk timer i fjor</c:v>
          </c:tx>
          <c:marker>
            <c:symbol val="none"/>
          </c:marker>
          <c:cat>
            <c:numRef>
              <c:f>Sykefravær!$A$6:$A$59</c:f>
              <c:numCache>
                <c:formatCode>General</c:formatCode>
                <c:ptCount val="5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numCache>
            </c:numRef>
          </c:cat>
          <c:val>
            <c:numRef>
              <c:f>Sykefravær!$K$6:$K$59</c:f>
              <c:numCache>
                <c:formatCode>_(* #\ ##0_);_(* \(#\ ##0\);_(* "-"??_);_(@_)</c:formatCode>
                <c:ptCount val="54"/>
                <c:pt idx="0">
                  <c:v>0</c:v>
                </c:pt>
                <c:pt idx="1">
                  <c:v>114</c:v>
                </c:pt>
                <c:pt idx="2">
                  <c:v>148</c:v>
                </c:pt>
                <c:pt idx="3">
                  <c:v>202</c:v>
                </c:pt>
                <c:pt idx="4">
                  <c:v>208</c:v>
                </c:pt>
                <c:pt idx="5">
                  <c:v>231</c:v>
                </c:pt>
                <c:pt idx="6">
                  <c:v>299</c:v>
                </c:pt>
                <c:pt idx="7">
                  <c:v>332</c:v>
                </c:pt>
                <c:pt idx="8">
                  <c:v>332</c:v>
                </c:pt>
                <c:pt idx="9">
                  <c:v>347</c:v>
                </c:pt>
                <c:pt idx="10">
                  <c:v>385</c:v>
                </c:pt>
                <c:pt idx="11">
                  <c:v>432</c:v>
                </c:pt>
                <c:pt idx="12">
                  <c:v>432</c:v>
                </c:pt>
                <c:pt idx="13">
                  <c:v>432</c:v>
                </c:pt>
                <c:pt idx="14">
                  <c:v>437</c:v>
                </c:pt>
                <c:pt idx="15">
                  <c:v>437</c:v>
                </c:pt>
                <c:pt idx="16">
                  <c:v>450</c:v>
                </c:pt>
                <c:pt idx="17">
                  <c:v>454</c:v>
                </c:pt>
                <c:pt idx="18">
                  <c:v>463</c:v>
                </c:pt>
                <c:pt idx="19">
                  <c:v>469</c:v>
                </c:pt>
                <c:pt idx="20">
                  <c:v>474</c:v>
                </c:pt>
                <c:pt idx="21">
                  <c:v>474</c:v>
                </c:pt>
                <c:pt idx="22">
                  <c:v>474</c:v>
                </c:pt>
                <c:pt idx="23">
                  <c:v>492</c:v>
                </c:pt>
                <c:pt idx="24">
                  <c:v>514</c:v>
                </c:pt>
                <c:pt idx="25">
                  <c:v>514</c:v>
                </c:pt>
                <c:pt idx="26">
                  <c:v>514</c:v>
                </c:pt>
                <c:pt idx="27">
                  <c:v>514</c:v>
                </c:pt>
                <c:pt idx="28">
                  <c:v>514</c:v>
                </c:pt>
                <c:pt idx="29">
                  <c:v>514</c:v>
                </c:pt>
                <c:pt idx="30">
                  <c:v>520</c:v>
                </c:pt>
                <c:pt idx="31">
                  <c:v>524</c:v>
                </c:pt>
                <c:pt idx="32">
                  <c:v>543</c:v>
                </c:pt>
                <c:pt idx="33">
                  <c:v>562</c:v>
                </c:pt>
                <c:pt idx="34">
                  <c:v>571</c:v>
                </c:pt>
                <c:pt idx="35">
                  <c:v>571</c:v>
                </c:pt>
                <c:pt idx="36">
                  <c:v>594</c:v>
                </c:pt>
                <c:pt idx="37">
                  <c:v>646</c:v>
                </c:pt>
                <c:pt idx="38">
                  <c:v>687</c:v>
                </c:pt>
                <c:pt idx="39">
                  <c:v>698</c:v>
                </c:pt>
                <c:pt idx="40">
                  <c:v>698</c:v>
                </c:pt>
                <c:pt idx="41">
                  <c:v>698</c:v>
                </c:pt>
                <c:pt idx="42">
                  <c:v>721</c:v>
                </c:pt>
                <c:pt idx="43">
                  <c:v>721</c:v>
                </c:pt>
                <c:pt idx="44">
                  <c:v>721</c:v>
                </c:pt>
                <c:pt idx="45">
                  <c:v>721</c:v>
                </c:pt>
                <c:pt idx="46">
                  <c:v>721</c:v>
                </c:pt>
                <c:pt idx="47">
                  <c:v>721</c:v>
                </c:pt>
                <c:pt idx="48">
                  <c:v>721</c:v>
                </c:pt>
                <c:pt idx="49">
                  <c:v>721</c:v>
                </c:pt>
                <c:pt idx="50">
                  <c:v>721</c:v>
                </c:pt>
                <c:pt idx="51">
                  <c:v>721</c:v>
                </c:pt>
                <c:pt idx="52">
                  <c:v>721</c:v>
                </c:pt>
                <c:pt idx="53">
                  <c:v>721</c:v>
                </c:pt>
              </c:numCache>
            </c:numRef>
          </c:val>
          <c:smooth val="0"/>
          <c:extLst>
            <c:ext xmlns:c16="http://schemas.microsoft.com/office/drawing/2014/chart" uri="{C3380CC4-5D6E-409C-BE32-E72D297353CC}">
              <c16:uniqueId val="{00000001-8E2F-4728-A3F0-6B031781DAC5}"/>
            </c:ext>
          </c:extLst>
        </c:ser>
        <c:dLbls>
          <c:showLegendKey val="0"/>
          <c:showVal val="0"/>
          <c:showCatName val="0"/>
          <c:showSerName val="0"/>
          <c:showPercent val="0"/>
          <c:showBubbleSize val="0"/>
        </c:dLbls>
        <c:smooth val="0"/>
        <c:axId val="571529760"/>
        <c:axId val="226203656"/>
      </c:lineChart>
      <c:catAx>
        <c:axId val="571529760"/>
        <c:scaling>
          <c:orientation val="minMax"/>
        </c:scaling>
        <c:delete val="0"/>
        <c:axPos val="b"/>
        <c:numFmt formatCode="General" sourceLinked="1"/>
        <c:majorTickMark val="none"/>
        <c:minorTickMark val="none"/>
        <c:tickLblPos val="nextTo"/>
        <c:txPr>
          <a:bodyPr/>
          <a:lstStyle/>
          <a:p>
            <a:pPr>
              <a:defRPr sz="700"/>
            </a:pPr>
            <a:endParaRPr lang="nb-NO"/>
          </a:p>
        </c:txPr>
        <c:crossAx val="226203656"/>
        <c:crosses val="autoZero"/>
        <c:auto val="1"/>
        <c:lblAlgn val="ctr"/>
        <c:lblOffset val="100"/>
        <c:noMultiLvlLbl val="0"/>
      </c:catAx>
      <c:valAx>
        <c:axId val="226203656"/>
        <c:scaling>
          <c:orientation val="minMax"/>
        </c:scaling>
        <c:delete val="0"/>
        <c:axPos val="l"/>
        <c:numFmt formatCode="_(* #\ ##0_);_(* \(#\ ##0\);_(* &quot;-&quot;??_);_(@_)" sourceLinked="1"/>
        <c:majorTickMark val="none"/>
        <c:minorTickMark val="none"/>
        <c:tickLblPos val="nextTo"/>
        <c:crossAx val="571529760"/>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nb-NO" sz="1000"/>
              <a:t>Fraværs % akkumulert</a:t>
            </a:r>
          </a:p>
        </c:rich>
      </c:tx>
      <c:layout/>
      <c:overlay val="1"/>
    </c:title>
    <c:autoTitleDeleted val="0"/>
    <c:plotArea>
      <c:layout/>
      <c:lineChart>
        <c:grouping val="standard"/>
        <c:varyColors val="0"/>
        <c:ser>
          <c:idx val="0"/>
          <c:order val="0"/>
          <c:tx>
            <c:v>Fravær % i år</c:v>
          </c:tx>
          <c:marker>
            <c:symbol val="none"/>
          </c:marker>
          <c:val>
            <c:numRef>
              <c:f>Sykefravær!$J$6:$J$59</c:f>
              <c:numCache>
                <c:formatCode>0.00%</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0-3F4F-476C-9EB8-E57E35D97591}"/>
            </c:ext>
          </c:extLst>
        </c:ser>
        <c:ser>
          <c:idx val="1"/>
          <c:order val="1"/>
          <c:tx>
            <c:v>Fravær % i fjor</c:v>
          </c:tx>
          <c:marker>
            <c:symbol val="none"/>
          </c:marker>
          <c:val>
            <c:numRef>
              <c:f>Sykefravær!$M$6:$M$59</c:f>
              <c:numCache>
                <c:formatCode>0.00%</c:formatCode>
                <c:ptCount val="54"/>
                <c:pt idx="0">
                  <c:v>0</c:v>
                </c:pt>
                <c:pt idx="1">
                  <c:v>0.18719211822660098</c:v>
                </c:pt>
                <c:pt idx="2">
                  <c:v>0.12563667232597622</c:v>
                </c:pt>
                <c:pt idx="3">
                  <c:v>0.11562678878076703</c:v>
                </c:pt>
                <c:pt idx="4">
                  <c:v>9.2239467849223947E-2</c:v>
                </c:pt>
                <c:pt idx="5">
                  <c:v>8.2147937411095301E-2</c:v>
                </c:pt>
                <c:pt idx="6">
                  <c:v>8.7146604488487323E-2</c:v>
                </c:pt>
                <c:pt idx="7">
                  <c:v>8.2361696849417021E-2</c:v>
                </c:pt>
                <c:pt idx="8">
                  <c:v>7.2158226472505971E-2</c:v>
                </c:pt>
                <c:pt idx="9">
                  <c:v>6.7040185471406485E-2</c:v>
                </c:pt>
                <c:pt idx="10">
                  <c:v>6.6459520110478162E-2</c:v>
                </c:pt>
                <c:pt idx="11">
                  <c:v>6.7310688688064821E-2</c:v>
                </c:pt>
                <c:pt idx="12">
                  <c:v>6.2015503875968991E-2</c:v>
                </c:pt>
                <c:pt idx="13">
                  <c:v>5.7180675049636004E-2</c:v>
                </c:pt>
                <c:pt idx="14">
                  <c:v>5.369869746866552E-2</c:v>
                </c:pt>
                <c:pt idx="15">
                  <c:v>5.0276115968706854E-2</c:v>
                </c:pt>
                <c:pt idx="16">
                  <c:v>4.8585618656877563E-2</c:v>
                </c:pt>
                <c:pt idx="17">
                  <c:v>4.6241597066612343E-2</c:v>
                </c:pt>
                <c:pt idx="18">
                  <c:v>4.4678181993631189E-2</c:v>
                </c:pt>
                <c:pt idx="19">
                  <c:v>4.3031470777135518E-2</c:v>
                </c:pt>
                <c:pt idx="20">
                  <c:v>4.1455308728354033E-2</c:v>
                </c:pt>
                <c:pt idx="21">
                  <c:v>3.9473684210526314E-2</c:v>
                </c:pt>
                <c:pt idx="22">
                  <c:v>3.7808088059344339E-2</c:v>
                </c:pt>
                <c:pt idx="23">
                  <c:v>3.7525741743574099E-2</c:v>
                </c:pt>
                <c:pt idx="24">
                  <c:v>3.7534686724112754E-2</c:v>
                </c:pt>
                <c:pt idx="25">
                  <c:v>3.6090436736413427E-2</c:v>
                </c:pt>
                <c:pt idx="26">
                  <c:v>3.4885299307723633E-2</c:v>
                </c:pt>
                <c:pt idx="27">
                  <c:v>3.3696079716795592E-2</c:v>
                </c:pt>
                <c:pt idx="28">
                  <c:v>3.2651505526616692E-2</c:v>
                </c:pt>
                <c:pt idx="29">
                  <c:v>3.1710777962860141E-2</c:v>
                </c:pt>
                <c:pt idx="30">
                  <c:v>3.1165717710518431E-2</c:v>
                </c:pt>
                <c:pt idx="31">
                  <c:v>3.0507685142058687E-2</c:v>
                </c:pt>
                <c:pt idx="32">
                  <c:v>3.0650259652291713E-2</c:v>
                </c:pt>
                <c:pt idx="33">
                  <c:v>3.0782713479761189E-2</c:v>
                </c:pt>
                <c:pt idx="34">
                  <c:v>3.0344900887495349E-2</c:v>
                </c:pt>
                <c:pt idx="35">
                  <c:v>2.9502945127622197E-2</c:v>
                </c:pt>
                <c:pt idx="36">
                  <c:v>2.9847746344404805E-2</c:v>
                </c:pt>
                <c:pt idx="37">
                  <c:v>3.1566088443684338E-2</c:v>
                </c:pt>
                <c:pt idx="38">
                  <c:v>3.2669171144609828E-2</c:v>
                </c:pt>
                <c:pt idx="39">
                  <c:v>3.2344763670064877E-2</c:v>
                </c:pt>
                <c:pt idx="40">
                  <c:v>3.1590857660104096E-2</c:v>
                </c:pt>
                <c:pt idx="41">
                  <c:v>3.08358367202686E-2</c:v>
                </c:pt>
                <c:pt idx="42">
                  <c:v>3.1086965894882076E-2</c:v>
                </c:pt>
                <c:pt idx="43">
                  <c:v>3.040398077085266E-2</c:v>
                </c:pt>
                <c:pt idx="44">
                  <c:v>2.9740543662088025E-2</c:v>
                </c:pt>
                <c:pt idx="45">
                  <c:v>0</c:v>
                </c:pt>
                <c:pt idx="46">
                  <c:v>0</c:v>
                </c:pt>
                <c:pt idx="47">
                  <c:v>0</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1-3F4F-476C-9EB8-E57E35D97591}"/>
            </c:ext>
          </c:extLst>
        </c:ser>
        <c:dLbls>
          <c:showLegendKey val="0"/>
          <c:showVal val="0"/>
          <c:showCatName val="0"/>
          <c:showSerName val="0"/>
          <c:showPercent val="0"/>
          <c:showBubbleSize val="0"/>
        </c:dLbls>
        <c:smooth val="0"/>
        <c:axId val="226214632"/>
        <c:axId val="564414576"/>
      </c:lineChart>
      <c:catAx>
        <c:axId val="226214632"/>
        <c:scaling>
          <c:orientation val="minMax"/>
        </c:scaling>
        <c:delete val="0"/>
        <c:axPos val="b"/>
        <c:majorTickMark val="none"/>
        <c:minorTickMark val="none"/>
        <c:tickLblPos val="nextTo"/>
        <c:txPr>
          <a:bodyPr/>
          <a:lstStyle/>
          <a:p>
            <a:pPr>
              <a:defRPr sz="700"/>
            </a:pPr>
            <a:endParaRPr lang="nb-NO"/>
          </a:p>
        </c:txPr>
        <c:crossAx val="564414576"/>
        <c:crosses val="autoZero"/>
        <c:auto val="1"/>
        <c:lblAlgn val="ctr"/>
        <c:lblOffset val="100"/>
        <c:noMultiLvlLbl val="0"/>
      </c:catAx>
      <c:valAx>
        <c:axId val="564414576"/>
        <c:scaling>
          <c:orientation val="minMax"/>
        </c:scaling>
        <c:delete val="0"/>
        <c:axPos val="l"/>
        <c:numFmt formatCode="0.00%" sourceLinked="1"/>
        <c:majorTickMark val="none"/>
        <c:minorTickMark val="none"/>
        <c:tickLblPos val="nextTo"/>
        <c:crossAx val="226214632"/>
        <c:crosses val="autoZero"/>
        <c:crossBetween val="between"/>
      </c:valAx>
    </c:plotArea>
    <c:legend>
      <c:legendPos val="b"/>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Omsetning</a:t>
            </a:r>
          </a:p>
        </c:rich>
      </c:tx>
      <c:overlay val="0"/>
    </c:title>
    <c:autoTitleDeleted val="0"/>
    <c:plotArea>
      <c:layout/>
      <c:barChart>
        <c:barDir val="col"/>
        <c:grouping val="clustered"/>
        <c:varyColors val="0"/>
        <c:ser>
          <c:idx val="0"/>
          <c:order val="0"/>
          <c:tx>
            <c:strRef>
              <c:f>'Mitt Distrikt'!$J$5</c:f>
              <c:strCache>
                <c:ptCount val="1"/>
                <c:pt idx="0">
                  <c:v>Netto Oms</c:v>
                </c:pt>
              </c:strCache>
            </c:strRef>
          </c:tx>
          <c:invertIfNegative val="0"/>
          <c:cat>
            <c:strRef>
              <c:f>'Mitt Distrikt'!$C$7:$C$27</c:f>
              <c:strCache>
                <c:ptCount val="1"/>
                <c:pt idx="0">
                  <c:v>1234</c:v>
                </c:pt>
              </c:strCache>
            </c:strRef>
          </c:cat>
          <c:val>
            <c:numRef>
              <c:f>'Mitt Distrikt'!$J$7:$J$27</c:f>
              <c:numCache>
                <c:formatCode>_ * #\ ##0_ ;_ * \-#\ ##0_ ;_ * "-"??_ ;_ @_ </c:formatCode>
                <c:ptCount val="21"/>
              </c:numCache>
            </c:numRef>
          </c:val>
          <c:extLst>
            <c:ext xmlns:c16="http://schemas.microsoft.com/office/drawing/2014/chart" uri="{C3380CC4-5D6E-409C-BE32-E72D297353CC}">
              <c16:uniqueId val="{00000000-6427-410F-97EC-1C02B798251A}"/>
            </c:ext>
          </c:extLst>
        </c:ser>
        <c:ser>
          <c:idx val="1"/>
          <c:order val="1"/>
          <c:invertIfNegative val="0"/>
          <c:cat>
            <c:strRef>
              <c:f>'Mitt Distrikt'!$C$7:$C$27</c:f>
              <c:strCache>
                <c:ptCount val="1"/>
                <c:pt idx="0">
                  <c:v>1234</c:v>
                </c:pt>
              </c:strCache>
            </c:strRef>
          </c:cat>
          <c:val>
            <c:numRef>
              <c:f>'Mitt Distrikt'!$K$7:$K$27</c:f>
            </c:numRef>
          </c:val>
          <c:extLst>
            <c:ext xmlns:c16="http://schemas.microsoft.com/office/drawing/2014/chart" uri="{C3380CC4-5D6E-409C-BE32-E72D297353CC}">
              <c16:uniqueId val="{00000001-6427-410F-97EC-1C02B798251A}"/>
            </c:ext>
          </c:extLst>
        </c:ser>
        <c:ser>
          <c:idx val="2"/>
          <c:order val="2"/>
          <c:tx>
            <c:strRef>
              <c:f>'Mitt Distrikt'!$L$5</c:f>
              <c:strCache>
                <c:ptCount val="1"/>
                <c:pt idx="0">
                  <c:v>Bud Oms</c:v>
                </c:pt>
              </c:strCache>
            </c:strRef>
          </c:tx>
          <c:invertIfNegative val="0"/>
          <c:cat>
            <c:strRef>
              <c:f>'Mitt Distrikt'!$C$7:$C$27</c:f>
              <c:strCache>
                <c:ptCount val="1"/>
                <c:pt idx="0">
                  <c:v>1234</c:v>
                </c:pt>
              </c:strCache>
            </c:strRef>
          </c:cat>
          <c:val>
            <c:numRef>
              <c:f>'Mitt Distrikt'!$L$7:$L$27</c:f>
              <c:numCache>
                <c:formatCode>_ * #\ ##0_ ;_ * \-#\ ##0_ ;_ * "-"??_ ;_ @_ </c:formatCode>
                <c:ptCount val="21"/>
              </c:numCache>
            </c:numRef>
          </c:val>
          <c:extLst>
            <c:ext xmlns:c16="http://schemas.microsoft.com/office/drawing/2014/chart" uri="{C3380CC4-5D6E-409C-BE32-E72D297353CC}">
              <c16:uniqueId val="{00000002-6427-410F-97EC-1C02B798251A}"/>
            </c:ext>
          </c:extLst>
        </c:ser>
        <c:dLbls>
          <c:showLegendKey val="0"/>
          <c:showVal val="0"/>
          <c:showCatName val="0"/>
          <c:showSerName val="0"/>
          <c:showPercent val="0"/>
          <c:showBubbleSize val="0"/>
        </c:dLbls>
        <c:gapWidth val="150"/>
        <c:axId val="564416144"/>
        <c:axId val="724797016"/>
      </c:barChart>
      <c:catAx>
        <c:axId val="564416144"/>
        <c:scaling>
          <c:orientation val="minMax"/>
        </c:scaling>
        <c:delete val="0"/>
        <c:axPos val="b"/>
        <c:numFmt formatCode="General" sourceLinked="1"/>
        <c:majorTickMark val="none"/>
        <c:minorTickMark val="none"/>
        <c:tickLblPos val="nextTo"/>
        <c:crossAx val="724797016"/>
        <c:crosses val="autoZero"/>
        <c:auto val="1"/>
        <c:lblAlgn val="ctr"/>
        <c:lblOffset val="100"/>
        <c:noMultiLvlLbl val="0"/>
      </c:catAx>
      <c:valAx>
        <c:axId val="724797016"/>
        <c:scaling>
          <c:orientation val="minMax"/>
        </c:scaling>
        <c:delete val="0"/>
        <c:axPos val="l"/>
        <c:majorGridlines/>
        <c:title>
          <c:overlay val="0"/>
        </c:title>
        <c:numFmt formatCode="_ * #\ ##0_ ;_ * \-#\ ##0_ ;_ * &quot;-&quot;??_ ;_ @_ " sourceLinked="1"/>
        <c:majorTickMark val="none"/>
        <c:minorTickMark val="none"/>
        <c:tickLblPos val="nextTo"/>
        <c:crossAx val="564416144"/>
        <c:crosses val="autoZero"/>
        <c:crossBetween val="between"/>
      </c:valAx>
      <c:dTable>
        <c:showHorzBorder val="1"/>
        <c:showVertBorder val="1"/>
        <c:showOutline val="1"/>
        <c:showKeys val="1"/>
        <c:txPr>
          <a:bodyPr/>
          <a:lstStyle/>
          <a:p>
            <a:pPr rtl="0">
              <a:defRPr sz="700"/>
            </a:pPr>
            <a:endParaRPr lang="nb-NO"/>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paperSize="9"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Lønnskostnader</a:t>
            </a:r>
          </a:p>
        </c:rich>
      </c:tx>
      <c:overlay val="0"/>
    </c:title>
    <c:autoTitleDeleted val="0"/>
    <c:plotArea>
      <c:layout/>
      <c:barChart>
        <c:barDir val="col"/>
        <c:grouping val="clustered"/>
        <c:varyColors val="0"/>
        <c:ser>
          <c:idx val="0"/>
          <c:order val="0"/>
          <c:tx>
            <c:strRef>
              <c:f>'Mitt Distrikt'!$O$5</c:f>
              <c:strCache>
                <c:ptCount val="1"/>
                <c:pt idx="0">
                  <c:v>Real %</c:v>
                </c:pt>
              </c:strCache>
            </c:strRef>
          </c:tx>
          <c:invertIfNegative val="0"/>
          <c:cat>
            <c:strRef>
              <c:f>'Mitt Distrikt'!$C$7:$C$27</c:f>
              <c:strCache>
                <c:ptCount val="1"/>
                <c:pt idx="0">
                  <c:v>1234</c:v>
                </c:pt>
              </c:strCache>
            </c:strRef>
          </c:cat>
          <c:val>
            <c:numRef>
              <c:f>'Mitt Distrikt'!$O$7:$O$27</c:f>
              <c:numCache>
                <c:formatCode>0.00%</c:formatCode>
                <c:ptCount val="21"/>
              </c:numCache>
            </c:numRef>
          </c:val>
          <c:extLst>
            <c:ext xmlns:c16="http://schemas.microsoft.com/office/drawing/2014/chart" uri="{C3380CC4-5D6E-409C-BE32-E72D297353CC}">
              <c16:uniqueId val="{00000000-091E-4861-8CD6-F46F74A70DE3}"/>
            </c:ext>
          </c:extLst>
        </c:ser>
        <c:ser>
          <c:idx val="1"/>
          <c:order val="1"/>
          <c:invertIfNegative val="0"/>
          <c:cat>
            <c:strRef>
              <c:f>'Mitt Distrikt'!$C$7:$C$27</c:f>
              <c:strCache>
                <c:ptCount val="1"/>
                <c:pt idx="0">
                  <c:v>1234</c:v>
                </c:pt>
              </c:strCache>
            </c:strRef>
          </c:cat>
          <c:val>
            <c:numRef>
              <c:f>'Mitt Distrikt'!$P$7:$P$27</c:f>
            </c:numRef>
          </c:val>
          <c:extLst>
            <c:ext xmlns:c16="http://schemas.microsoft.com/office/drawing/2014/chart" uri="{C3380CC4-5D6E-409C-BE32-E72D297353CC}">
              <c16:uniqueId val="{00000001-091E-4861-8CD6-F46F74A70DE3}"/>
            </c:ext>
          </c:extLst>
        </c:ser>
        <c:ser>
          <c:idx val="2"/>
          <c:order val="2"/>
          <c:tx>
            <c:strRef>
              <c:f>'Mitt Distrikt'!$Q$5</c:f>
              <c:strCache>
                <c:ptCount val="1"/>
                <c:pt idx="0">
                  <c:v>Bud %</c:v>
                </c:pt>
              </c:strCache>
            </c:strRef>
          </c:tx>
          <c:invertIfNegative val="0"/>
          <c:cat>
            <c:strRef>
              <c:f>'Mitt Distrikt'!$C$7:$C$27</c:f>
              <c:strCache>
                <c:ptCount val="1"/>
                <c:pt idx="0">
                  <c:v>1234</c:v>
                </c:pt>
              </c:strCache>
            </c:strRef>
          </c:cat>
          <c:val>
            <c:numRef>
              <c:f>'Mitt Distrikt'!$Q$7:$Q$27</c:f>
              <c:numCache>
                <c:formatCode>0.00%</c:formatCode>
                <c:ptCount val="21"/>
              </c:numCache>
            </c:numRef>
          </c:val>
          <c:extLst>
            <c:ext xmlns:c16="http://schemas.microsoft.com/office/drawing/2014/chart" uri="{C3380CC4-5D6E-409C-BE32-E72D297353CC}">
              <c16:uniqueId val="{00000002-091E-4861-8CD6-F46F74A70DE3}"/>
            </c:ext>
          </c:extLst>
        </c:ser>
        <c:dLbls>
          <c:showLegendKey val="0"/>
          <c:showVal val="0"/>
          <c:showCatName val="0"/>
          <c:showSerName val="0"/>
          <c:showPercent val="0"/>
          <c:showBubbleSize val="0"/>
        </c:dLbls>
        <c:gapWidth val="150"/>
        <c:axId val="487990576"/>
        <c:axId val="487989792"/>
      </c:barChart>
      <c:catAx>
        <c:axId val="487990576"/>
        <c:scaling>
          <c:orientation val="minMax"/>
        </c:scaling>
        <c:delete val="0"/>
        <c:axPos val="t"/>
        <c:numFmt formatCode="General" sourceLinked="1"/>
        <c:majorTickMark val="none"/>
        <c:minorTickMark val="none"/>
        <c:tickLblPos val="nextTo"/>
        <c:crossAx val="487989792"/>
        <c:crosses val="autoZero"/>
        <c:auto val="1"/>
        <c:lblAlgn val="ctr"/>
        <c:lblOffset val="100"/>
        <c:noMultiLvlLbl val="0"/>
      </c:catAx>
      <c:valAx>
        <c:axId val="487989792"/>
        <c:scaling>
          <c:orientation val="maxMin"/>
        </c:scaling>
        <c:delete val="0"/>
        <c:axPos val="l"/>
        <c:majorGridlines/>
        <c:title>
          <c:overlay val="0"/>
        </c:title>
        <c:numFmt formatCode="0.00%" sourceLinked="1"/>
        <c:majorTickMark val="none"/>
        <c:minorTickMark val="none"/>
        <c:tickLblPos val="nextTo"/>
        <c:crossAx val="48799057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Svinn &amp; Markdown</a:t>
            </a:r>
          </a:p>
        </c:rich>
      </c:tx>
      <c:overlay val="0"/>
    </c:title>
    <c:autoTitleDeleted val="0"/>
    <c:plotArea>
      <c:layout/>
      <c:barChart>
        <c:barDir val="col"/>
        <c:grouping val="stacked"/>
        <c:varyColors val="0"/>
        <c:ser>
          <c:idx val="0"/>
          <c:order val="0"/>
          <c:tx>
            <c:v>Svinn%</c:v>
          </c:tx>
          <c:invertIfNegative val="0"/>
          <c:cat>
            <c:strRef>
              <c:f>'Mitt Distrikt'!$C$7:$C$27</c:f>
              <c:strCache>
                <c:ptCount val="1"/>
                <c:pt idx="0">
                  <c:v>1234</c:v>
                </c:pt>
              </c:strCache>
            </c:strRef>
          </c:cat>
          <c:val>
            <c:numRef>
              <c:f>'Mitt Distrikt'!$T$7:$T$27</c:f>
              <c:numCache>
                <c:formatCode>0.00%</c:formatCode>
                <c:ptCount val="21"/>
              </c:numCache>
            </c:numRef>
          </c:val>
          <c:extLst>
            <c:ext xmlns:c16="http://schemas.microsoft.com/office/drawing/2014/chart" uri="{C3380CC4-5D6E-409C-BE32-E72D297353CC}">
              <c16:uniqueId val="{00000000-08FE-4AF1-A2DA-E7EBFB50D00D}"/>
            </c:ext>
          </c:extLst>
        </c:ser>
        <c:ser>
          <c:idx val="1"/>
          <c:order val="1"/>
          <c:invertIfNegative val="0"/>
          <c:cat>
            <c:strRef>
              <c:f>'Mitt Distrikt'!$C$7:$C$27</c:f>
              <c:strCache>
                <c:ptCount val="1"/>
                <c:pt idx="0">
                  <c:v>1234</c:v>
                </c:pt>
              </c:strCache>
            </c:strRef>
          </c:cat>
          <c:val>
            <c:numRef>
              <c:f>'Mitt Distrikt'!$U$7:$U$27</c:f>
            </c:numRef>
          </c:val>
          <c:extLst>
            <c:ext xmlns:c16="http://schemas.microsoft.com/office/drawing/2014/chart" uri="{C3380CC4-5D6E-409C-BE32-E72D297353CC}">
              <c16:uniqueId val="{00000001-08FE-4AF1-A2DA-E7EBFB50D00D}"/>
            </c:ext>
          </c:extLst>
        </c:ser>
        <c:ser>
          <c:idx val="2"/>
          <c:order val="2"/>
          <c:tx>
            <c:v>MD%</c:v>
          </c:tx>
          <c:spPr>
            <a:solidFill>
              <a:schemeClr val="accent1">
                <a:lumMod val="50000"/>
              </a:schemeClr>
            </a:solidFill>
          </c:spPr>
          <c:invertIfNegative val="0"/>
          <c:val>
            <c:numRef>
              <c:f>'Mitt Distrikt'!$Y$7:$Y$27</c:f>
              <c:numCache>
                <c:formatCode>0.00%</c:formatCode>
                <c:ptCount val="21"/>
              </c:numCache>
            </c:numRef>
          </c:val>
          <c:extLst>
            <c:ext xmlns:c16="http://schemas.microsoft.com/office/drawing/2014/chart" uri="{C3380CC4-5D6E-409C-BE32-E72D297353CC}">
              <c16:uniqueId val="{00000002-08FE-4AF1-A2DA-E7EBFB50D00D}"/>
            </c:ext>
          </c:extLst>
        </c:ser>
        <c:dLbls>
          <c:showLegendKey val="0"/>
          <c:showVal val="0"/>
          <c:showCatName val="0"/>
          <c:showSerName val="0"/>
          <c:showPercent val="0"/>
          <c:showBubbleSize val="0"/>
        </c:dLbls>
        <c:gapWidth val="150"/>
        <c:overlap val="100"/>
        <c:axId val="487985088"/>
        <c:axId val="487990968"/>
      </c:barChart>
      <c:catAx>
        <c:axId val="487985088"/>
        <c:scaling>
          <c:orientation val="minMax"/>
        </c:scaling>
        <c:delete val="0"/>
        <c:axPos val="t"/>
        <c:numFmt formatCode="General" sourceLinked="1"/>
        <c:majorTickMark val="none"/>
        <c:minorTickMark val="none"/>
        <c:tickLblPos val="nextTo"/>
        <c:crossAx val="487990968"/>
        <c:crosses val="autoZero"/>
        <c:auto val="1"/>
        <c:lblAlgn val="ctr"/>
        <c:lblOffset val="100"/>
        <c:noMultiLvlLbl val="0"/>
      </c:catAx>
      <c:valAx>
        <c:axId val="487990968"/>
        <c:scaling>
          <c:orientation val="maxMin"/>
        </c:scaling>
        <c:delete val="0"/>
        <c:axPos val="l"/>
        <c:majorGridlines/>
        <c:title>
          <c:overlay val="0"/>
        </c:title>
        <c:numFmt formatCode="0.00%" sourceLinked="1"/>
        <c:majorTickMark val="none"/>
        <c:minorTickMark val="none"/>
        <c:tickLblPos val="nextTo"/>
        <c:crossAx val="4879850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Omsetning</a:t>
            </a:r>
          </a:p>
        </c:rich>
      </c:tx>
      <c:overlay val="0"/>
    </c:title>
    <c:autoTitleDeleted val="0"/>
    <c:plotArea>
      <c:layout/>
      <c:barChart>
        <c:barDir val="col"/>
        <c:grouping val="clustered"/>
        <c:varyColors val="0"/>
        <c:ser>
          <c:idx val="0"/>
          <c:order val="0"/>
          <c:tx>
            <c:strRef>
              <c:f>'Mitt Distrikt YTD'!$J$5</c:f>
              <c:strCache>
                <c:ptCount val="1"/>
                <c:pt idx="0">
                  <c:v>Netto Oms</c:v>
                </c:pt>
              </c:strCache>
            </c:strRef>
          </c:tx>
          <c:invertIfNegative val="0"/>
          <c:cat>
            <c:strRef>
              <c:f>'Mitt Distrikt YTD'!$C$7:$C$27</c:f>
              <c:strCache>
                <c:ptCount val="15"/>
                <c:pt idx="0">
                  <c:v>6161</c:v>
                </c:pt>
                <c:pt idx="1">
                  <c:v>6173</c:v>
                </c:pt>
                <c:pt idx="2">
                  <c:v>8008</c:v>
                </c:pt>
                <c:pt idx="3">
                  <c:v>8009</c:v>
                </c:pt>
                <c:pt idx="4">
                  <c:v>8304</c:v>
                </c:pt>
                <c:pt idx="5">
                  <c:v>8327</c:v>
                </c:pt>
                <c:pt idx="6">
                  <c:v>8356</c:v>
                </c:pt>
                <c:pt idx="7">
                  <c:v>8367</c:v>
                </c:pt>
                <c:pt idx="8">
                  <c:v>8602</c:v>
                </c:pt>
                <c:pt idx="9">
                  <c:v>8612</c:v>
                </c:pt>
                <c:pt idx="10">
                  <c:v>8613</c:v>
                </c:pt>
                <c:pt idx="11">
                  <c:v>8628</c:v>
                </c:pt>
                <c:pt idx="12">
                  <c:v>8633</c:v>
                </c:pt>
                <c:pt idx="13">
                  <c:v>8640</c:v>
                </c:pt>
                <c:pt idx="14">
                  <c:v>8641</c:v>
                </c:pt>
              </c:strCache>
            </c:strRef>
          </c:cat>
          <c:val>
            <c:numRef>
              <c:f>'Mitt Distrikt YTD'!$J$7:$J$27</c:f>
              <c:numCache>
                <c:formatCode>_ * #\ ##0_ ;_ * \-#\ ##0_ ;_ * "-"??_ ;_ @_ </c:formatCode>
                <c:ptCount val="21"/>
                <c:pt idx="0">
                  <c:v>19906723.609999999</c:v>
                </c:pt>
                <c:pt idx="1">
                  <c:v>25506585.77</c:v>
                </c:pt>
                <c:pt idx="2">
                  <c:v>74875095.3653</c:v>
                </c:pt>
                <c:pt idx="3">
                  <c:v>56228581</c:v>
                </c:pt>
                <c:pt idx="4">
                  <c:v>33006237.510000002</c:v>
                </c:pt>
                <c:pt idx="5">
                  <c:v>104381014</c:v>
                </c:pt>
                <c:pt idx="6">
                  <c:v>77540013</c:v>
                </c:pt>
                <c:pt idx="7">
                  <c:v>107821503.37</c:v>
                </c:pt>
                <c:pt idx="8">
                  <c:v>59658693.43</c:v>
                </c:pt>
                <c:pt idx="9">
                  <c:v>40594922.789999999</c:v>
                </c:pt>
                <c:pt idx="10">
                  <c:v>62835503</c:v>
                </c:pt>
                <c:pt idx="11">
                  <c:v>49288709.789999999</c:v>
                </c:pt>
                <c:pt idx="12">
                  <c:v>45150873</c:v>
                </c:pt>
                <c:pt idx="13">
                  <c:v>82881739</c:v>
                </c:pt>
                <c:pt idx="14">
                  <c:v>8168237</c:v>
                </c:pt>
              </c:numCache>
            </c:numRef>
          </c:val>
          <c:extLst>
            <c:ext xmlns:c16="http://schemas.microsoft.com/office/drawing/2014/chart" uri="{C3380CC4-5D6E-409C-BE32-E72D297353CC}">
              <c16:uniqueId val="{00000000-1DD8-4C32-81E1-6AF8B7E94C1F}"/>
            </c:ext>
          </c:extLst>
        </c:ser>
        <c:ser>
          <c:idx val="1"/>
          <c:order val="1"/>
          <c:invertIfNegative val="0"/>
          <c:cat>
            <c:strRef>
              <c:f>'Mitt Distrikt'!$C$7:$C$27</c:f>
              <c:strCache>
                <c:ptCount val="1"/>
                <c:pt idx="0">
                  <c:v>1234</c:v>
                </c:pt>
              </c:strCache>
            </c:strRef>
          </c:cat>
          <c:val>
            <c:numRef>
              <c:f>'Mitt Distrikt'!$K$7:$K$27</c:f>
            </c:numRef>
          </c:val>
          <c:extLst>
            <c:ext xmlns:c16="http://schemas.microsoft.com/office/drawing/2014/chart" uri="{C3380CC4-5D6E-409C-BE32-E72D297353CC}">
              <c16:uniqueId val="{00000001-1DD8-4C32-81E1-6AF8B7E94C1F}"/>
            </c:ext>
          </c:extLst>
        </c:ser>
        <c:ser>
          <c:idx val="2"/>
          <c:order val="2"/>
          <c:tx>
            <c:strRef>
              <c:f>'Mitt Distrikt YTD'!$L$5</c:f>
              <c:strCache>
                <c:ptCount val="1"/>
                <c:pt idx="0">
                  <c:v>Bud Oms</c:v>
                </c:pt>
              </c:strCache>
            </c:strRef>
          </c:tx>
          <c:invertIfNegative val="0"/>
          <c:cat>
            <c:strRef>
              <c:f>'Mitt Distrikt YTD'!$C$7:$C$27</c:f>
              <c:strCache>
                <c:ptCount val="15"/>
                <c:pt idx="0">
                  <c:v>6161</c:v>
                </c:pt>
                <c:pt idx="1">
                  <c:v>6173</c:v>
                </c:pt>
                <c:pt idx="2">
                  <c:v>8008</c:v>
                </c:pt>
                <c:pt idx="3">
                  <c:v>8009</c:v>
                </c:pt>
                <c:pt idx="4">
                  <c:v>8304</c:v>
                </c:pt>
                <c:pt idx="5">
                  <c:v>8327</c:v>
                </c:pt>
                <c:pt idx="6">
                  <c:v>8356</c:v>
                </c:pt>
                <c:pt idx="7">
                  <c:v>8367</c:v>
                </c:pt>
                <c:pt idx="8">
                  <c:v>8602</c:v>
                </c:pt>
                <c:pt idx="9">
                  <c:v>8612</c:v>
                </c:pt>
                <c:pt idx="10">
                  <c:v>8613</c:v>
                </c:pt>
                <c:pt idx="11">
                  <c:v>8628</c:v>
                </c:pt>
                <c:pt idx="12">
                  <c:v>8633</c:v>
                </c:pt>
                <c:pt idx="13">
                  <c:v>8640</c:v>
                </c:pt>
                <c:pt idx="14">
                  <c:v>8641</c:v>
                </c:pt>
              </c:strCache>
            </c:strRef>
          </c:cat>
          <c:val>
            <c:numRef>
              <c:f>'Mitt Distrikt YTD'!$L$7:$L$27</c:f>
              <c:numCache>
                <c:formatCode>_ * #\ ##0_ ;_ * \-#\ ##0_ ;_ * "-"??_ ;_ @_ </c:formatCode>
                <c:ptCount val="21"/>
                <c:pt idx="0">
                  <c:v>19643037</c:v>
                </c:pt>
                <c:pt idx="1">
                  <c:v>29825000</c:v>
                </c:pt>
                <c:pt idx="2">
                  <c:v>84494932</c:v>
                </c:pt>
                <c:pt idx="3">
                  <c:v>59436749.148500003</c:v>
                </c:pt>
                <c:pt idx="4">
                  <c:v>38280000</c:v>
                </c:pt>
                <c:pt idx="5">
                  <c:v>107640000</c:v>
                </c:pt>
                <c:pt idx="6">
                  <c:v>84409812</c:v>
                </c:pt>
                <c:pt idx="7">
                  <c:v>106000000</c:v>
                </c:pt>
                <c:pt idx="8">
                  <c:v>71449714.437199995</c:v>
                </c:pt>
                <c:pt idx="9">
                  <c:v>42805523</c:v>
                </c:pt>
                <c:pt idx="10">
                  <c:v>67611000</c:v>
                </c:pt>
                <c:pt idx="11">
                  <c:v>54730000</c:v>
                </c:pt>
                <c:pt idx="12">
                  <c:v>46520000</c:v>
                </c:pt>
                <c:pt idx="13">
                  <c:v>90660869.565200001</c:v>
                </c:pt>
                <c:pt idx="14">
                  <c:v>121037881</c:v>
                </c:pt>
              </c:numCache>
            </c:numRef>
          </c:val>
          <c:extLst>
            <c:ext xmlns:c16="http://schemas.microsoft.com/office/drawing/2014/chart" uri="{C3380CC4-5D6E-409C-BE32-E72D297353CC}">
              <c16:uniqueId val="{00000002-1DD8-4C32-81E1-6AF8B7E94C1F}"/>
            </c:ext>
          </c:extLst>
        </c:ser>
        <c:dLbls>
          <c:showLegendKey val="0"/>
          <c:showVal val="0"/>
          <c:showCatName val="0"/>
          <c:showSerName val="0"/>
          <c:showPercent val="0"/>
          <c:showBubbleSize val="0"/>
        </c:dLbls>
        <c:gapWidth val="150"/>
        <c:axId val="487979208"/>
        <c:axId val="487986264"/>
      </c:barChart>
      <c:catAx>
        <c:axId val="487979208"/>
        <c:scaling>
          <c:orientation val="minMax"/>
        </c:scaling>
        <c:delete val="0"/>
        <c:axPos val="b"/>
        <c:numFmt formatCode="General" sourceLinked="1"/>
        <c:majorTickMark val="none"/>
        <c:minorTickMark val="none"/>
        <c:tickLblPos val="nextTo"/>
        <c:crossAx val="487986264"/>
        <c:crosses val="autoZero"/>
        <c:auto val="1"/>
        <c:lblAlgn val="ctr"/>
        <c:lblOffset val="100"/>
        <c:noMultiLvlLbl val="0"/>
      </c:catAx>
      <c:valAx>
        <c:axId val="487986264"/>
        <c:scaling>
          <c:orientation val="minMax"/>
        </c:scaling>
        <c:delete val="0"/>
        <c:axPos val="l"/>
        <c:majorGridlines/>
        <c:title>
          <c:overlay val="0"/>
        </c:title>
        <c:numFmt formatCode="_ * #\ ##0_ ;_ * \-#\ ##0_ ;_ * &quot;-&quot;??_ ;_ @_ " sourceLinked="1"/>
        <c:majorTickMark val="none"/>
        <c:minorTickMark val="none"/>
        <c:tickLblPos val="nextTo"/>
        <c:crossAx val="487979208"/>
        <c:crosses val="autoZero"/>
        <c:crossBetween val="between"/>
      </c:valAx>
      <c:dTable>
        <c:showHorzBorder val="1"/>
        <c:showVertBorder val="1"/>
        <c:showOutline val="1"/>
        <c:showKeys val="1"/>
        <c:txPr>
          <a:bodyPr/>
          <a:lstStyle/>
          <a:p>
            <a:pPr rtl="0">
              <a:defRPr sz="700"/>
            </a:pPr>
            <a:endParaRPr lang="nb-NO"/>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paperSize="9"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Lønnskostnader</a:t>
            </a:r>
          </a:p>
        </c:rich>
      </c:tx>
      <c:overlay val="0"/>
    </c:title>
    <c:autoTitleDeleted val="0"/>
    <c:plotArea>
      <c:layout/>
      <c:barChart>
        <c:barDir val="col"/>
        <c:grouping val="clustered"/>
        <c:varyColors val="0"/>
        <c:ser>
          <c:idx val="0"/>
          <c:order val="0"/>
          <c:tx>
            <c:strRef>
              <c:f>'Mitt Distrikt YTD'!$O$5</c:f>
              <c:strCache>
                <c:ptCount val="1"/>
                <c:pt idx="0">
                  <c:v>Real %</c:v>
                </c:pt>
              </c:strCache>
            </c:strRef>
          </c:tx>
          <c:invertIfNegative val="0"/>
          <c:cat>
            <c:strRef>
              <c:f>'Mitt Distrikt YTD'!$C$7:$C$27</c:f>
              <c:strCache>
                <c:ptCount val="15"/>
                <c:pt idx="0">
                  <c:v>6161</c:v>
                </c:pt>
                <c:pt idx="1">
                  <c:v>6173</c:v>
                </c:pt>
                <c:pt idx="2">
                  <c:v>8008</c:v>
                </c:pt>
                <c:pt idx="3">
                  <c:v>8009</c:v>
                </c:pt>
                <c:pt idx="4">
                  <c:v>8304</c:v>
                </c:pt>
                <c:pt idx="5">
                  <c:v>8327</c:v>
                </c:pt>
                <c:pt idx="6">
                  <c:v>8356</c:v>
                </c:pt>
                <c:pt idx="7">
                  <c:v>8367</c:v>
                </c:pt>
                <c:pt idx="8">
                  <c:v>8602</c:v>
                </c:pt>
                <c:pt idx="9">
                  <c:v>8612</c:v>
                </c:pt>
                <c:pt idx="10">
                  <c:v>8613</c:v>
                </c:pt>
                <c:pt idx="11">
                  <c:v>8628</c:v>
                </c:pt>
                <c:pt idx="12">
                  <c:v>8633</c:v>
                </c:pt>
                <c:pt idx="13">
                  <c:v>8640</c:v>
                </c:pt>
                <c:pt idx="14">
                  <c:v>8641</c:v>
                </c:pt>
              </c:strCache>
            </c:strRef>
          </c:cat>
          <c:val>
            <c:numRef>
              <c:f>'Mitt Distrikt YTD'!$O$7:$O$27</c:f>
              <c:numCache>
                <c:formatCode>0.00%</c:formatCode>
                <c:ptCount val="21"/>
                <c:pt idx="0">
                  <c:v>-0.12941135768405626</c:v>
                </c:pt>
                <c:pt idx="1">
                  <c:v>-0.1175498808263228</c:v>
                </c:pt>
                <c:pt idx="2">
                  <c:v>-0.11967174927732191</c:v>
                </c:pt>
                <c:pt idx="3">
                  <c:v>-0.11505648906659212</c:v>
                </c:pt>
                <c:pt idx="4">
                  <c:v>-0.13310389412827969</c:v>
                </c:pt>
                <c:pt idx="5">
                  <c:v>-9.4439905464416218E-2</c:v>
                </c:pt>
                <c:pt idx="6">
                  <c:v>-0.11164502824683598</c:v>
                </c:pt>
                <c:pt idx="7">
                  <c:v>-9.825900536651927E-2</c:v>
                </c:pt>
                <c:pt idx="8">
                  <c:v>-0.12743546950715495</c:v>
                </c:pt>
                <c:pt idx="9">
                  <c:v>-0.17756988564455614</c:v>
                </c:pt>
                <c:pt idx="10">
                  <c:v>-9.9631197185310938E-2</c:v>
                </c:pt>
                <c:pt idx="11">
                  <c:v>-0.10982685290182055</c:v>
                </c:pt>
                <c:pt idx="12">
                  <c:v>-0.11258547631150954</c:v>
                </c:pt>
                <c:pt idx="13">
                  <c:v>-0.11186177273454377</c:v>
                </c:pt>
                <c:pt idx="14">
                  <c:v>-0.11152726243463093</c:v>
                </c:pt>
              </c:numCache>
            </c:numRef>
          </c:val>
          <c:extLst>
            <c:ext xmlns:c16="http://schemas.microsoft.com/office/drawing/2014/chart" uri="{C3380CC4-5D6E-409C-BE32-E72D297353CC}">
              <c16:uniqueId val="{00000000-E593-4B1F-9B5D-148DD7078BB3}"/>
            </c:ext>
          </c:extLst>
        </c:ser>
        <c:ser>
          <c:idx val="1"/>
          <c:order val="1"/>
          <c:invertIfNegative val="0"/>
          <c:cat>
            <c:strRef>
              <c:f>'Mitt Distrikt'!$C$7:$C$27</c:f>
              <c:strCache>
                <c:ptCount val="1"/>
                <c:pt idx="0">
                  <c:v>1234</c:v>
                </c:pt>
              </c:strCache>
            </c:strRef>
          </c:cat>
          <c:val>
            <c:numRef>
              <c:f>'Mitt Distrikt'!$P$7:$P$27</c:f>
            </c:numRef>
          </c:val>
          <c:extLst>
            <c:ext xmlns:c16="http://schemas.microsoft.com/office/drawing/2014/chart" uri="{C3380CC4-5D6E-409C-BE32-E72D297353CC}">
              <c16:uniqueId val="{00000001-E593-4B1F-9B5D-148DD7078BB3}"/>
            </c:ext>
          </c:extLst>
        </c:ser>
        <c:ser>
          <c:idx val="2"/>
          <c:order val="2"/>
          <c:tx>
            <c:strRef>
              <c:f>'Mitt Distrikt YTD'!$Q$5</c:f>
              <c:strCache>
                <c:ptCount val="1"/>
                <c:pt idx="0">
                  <c:v>Bud %</c:v>
                </c:pt>
              </c:strCache>
            </c:strRef>
          </c:tx>
          <c:invertIfNegative val="0"/>
          <c:cat>
            <c:strRef>
              <c:f>'Mitt Distrikt YTD'!$C$7:$C$27</c:f>
              <c:strCache>
                <c:ptCount val="15"/>
                <c:pt idx="0">
                  <c:v>6161</c:v>
                </c:pt>
                <c:pt idx="1">
                  <c:v>6173</c:v>
                </c:pt>
                <c:pt idx="2">
                  <c:v>8008</c:v>
                </c:pt>
                <c:pt idx="3">
                  <c:v>8009</c:v>
                </c:pt>
                <c:pt idx="4">
                  <c:v>8304</c:v>
                </c:pt>
                <c:pt idx="5">
                  <c:v>8327</c:v>
                </c:pt>
                <c:pt idx="6">
                  <c:v>8356</c:v>
                </c:pt>
                <c:pt idx="7">
                  <c:v>8367</c:v>
                </c:pt>
                <c:pt idx="8">
                  <c:v>8602</c:v>
                </c:pt>
                <c:pt idx="9">
                  <c:v>8612</c:v>
                </c:pt>
                <c:pt idx="10">
                  <c:v>8613</c:v>
                </c:pt>
                <c:pt idx="11">
                  <c:v>8628</c:v>
                </c:pt>
                <c:pt idx="12">
                  <c:v>8633</c:v>
                </c:pt>
                <c:pt idx="13">
                  <c:v>8640</c:v>
                </c:pt>
                <c:pt idx="14">
                  <c:v>8641</c:v>
                </c:pt>
              </c:strCache>
            </c:strRef>
          </c:cat>
          <c:val>
            <c:numRef>
              <c:f>'Mitt Distrikt YTD'!$Q$7:$Q$27</c:f>
              <c:numCache>
                <c:formatCode>0.00%</c:formatCode>
                <c:ptCount val="21"/>
                <c:pt idx="0">
                  <c:v>-0.12399994277870867</c:v>
                </c:pt>
                <c:pt idx="1">
                  <c:v>-0.11317806829243694</c:v>
                </c:pt>
                <c:pt idx="2">
                  <c:v>-0.12103088689708767</c:v>
                </c:pt>
                <c:pt idx="3">
                  <c:v>-0.11435683239776753</c:v>
                </c:pt>
                <c:pt idx="4">
                  <c:v>-0.10586852518629768</c:v>
                </c:pt>
                <c:pt idx="5">
                  <c:v>-9.9819510871241995E-2</c:v>
                </c:pt>
                <c:pt idx="6">
                  <c:v>-9.3231985460031766E-2</c:v>
                </c:pt>
                <c:pt idx="7">
                  <c:v>-0.10072206650262201</c:v>
                </c:pt>
                <c:pt idx="8">
                  <c:v>-9.6558998279900859E-2</c:v>
                </c:pt>
                <c:pt idx="9">
                  <c:v>-0.109356810424748</c:v>
                </c:pt>
                <c:pt idx="10">
                  <c:v>-9.4688011891733412E-2</c:v>
                </c:pt>
                <c:pt idx="11">
                  <c:v>-0.10043376849198303</c:v>
                </c:pt>
                <c:pt idx="12">
                  <c:v>-0.11106880672680983</c:v>
                </c:pt>
                <c:pt idx="13">
                  <c:v>-0.10772216628977233</c:v>
                </c:pt>
                <c:pt idx="14">
                  <c:v>-9.2871096098657777E-2</c:v>
                </c:pt>
              </c:numCache>
            </c:numRef>
          </c:val>
          <c:extLst>
            <c:ext xmlns:c16="http://schemas.microsoft.com/office/drawing/2014/chart" uri="{C3380CC4-5D6E-409C-BE32-E72D297353CC}">
              <c16:uniqueId val="{00000002-E593-4B1F-9B5D-148DD7078BB3}"/>
            </c:ext>
          </c:extLst>
        </c:ser>
        <c:dLbls>
          <c:showLegendKey val="0"/>
          <c:showVal val="0"/>
          <c:showCatName val="0"/>
          <c:showSerName val="0"/>
          <c:showPercent val="0"/>
          <c:showBubbleSize val="0"/>
        </c:dLbls>
        <c:gapWidth val="150"/>
        <c:axId val="487989400"/>
        <c:axId val="487990184"/>
      </c:barChart>
      <c:catAx>
        <c:axId val="487989400"/>
        <c:scaling>
          <c:orientation val="minMax"/>
        </c:scaling>
        <c:delete val="0"/>
        <c:axPos val="b"/>
        <c:numFmt formatCode="General" sourceLinked="1"/>
        <c:majorTickMark val="none"/>
        <c:minorTickMark val="none"/>
        <c:tickLblPos val="nextTo"/>
        <c:crossAx val="487990184"/>
        <c:crosses val="autoZero"/>
        <c:auto val="1"/>
        <c:lblAlgn val="ctr"/>
        <c:lblOffset val="100"/>
        <c:noMultiLvlLbl val="0"/>
      </c:catAx>
      <c:valAx>
        <c:axId val="487990184"/>
        <c:scaling>
          <c:orientation val="minMax"/>
        </c:scaling>
        <c:delete val="0"/>
        <c:axPos val="l"/>
        <c:majorGridlines/>
        <c:title>
          <c:overlay val="0"/>
        </c:title>
        <c:numFmt formatCode="0.00%" sourceLinked="1"/>
        <c:majorTickMark val="none"/>
        <c:minorTickMark val="none"/>
        <c:tickLblPos val="nextTo"/>
        <c:crossAx val="4879894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Svinn &amp; Markdown</a:t>
            </a:r>
          </a:p>
        </c:rich>
      </c:tx>
      <c:overlay val="0"/>
    </c:title>
    <c:autoTitleDeleted val="0"/>
    <c:plotArea>
      <c:layout/>
      <c:barChart>
        <c:barDir val="col"/>
        <c:grouping val="stacked"/>
        <c:varyColors val="0"/>
        <c:ser>
          <c:idx val="0"/>
          <c:order val="0"/>
          <c:tx>
            <c:v>Svinn%</c:v>
          </c:tx>
          <c:invertIfNegative val="0"/>
          <c:cat>
            <c:strRef>
              <c:f>'Mitt Distrikt YTD'!$C$7:$C$27</c:f>
              <c:strCache>
                <c:ptCount val="15"/>
                <c:pt idx="0">
                  <c:v>6161</c:v>
                </c:pt>
                <c:pt idx="1">
                  <c:v>6173</c:v>
                </c:pt>
                <c:pt idx="2">
                  <c:v>8008</c:v>
                </c:pt>
                <c:pt idx="3">
                  <c:v>8009</c:v>
                </c:pt>
                <c:pt idx="4">
                  <c:v>8304</c:v>
                </c:pt>
                <c:pt idx="5">
                  <c:v>8327</c:v>
                </c:pt>
                <c:pt idx="6">
                  <c:v>8356</c:v>
                </c:pt>
                <c:pt idx="7">
                  <c:v>8367</c:v>
                </c:pt>
                <c:pt idx="8">
                  <c:v>8602</c:v>
                </c:pt>
                <c:pt idx="9">
                  <c:v>8612</c:v>
                </c:pt>
                <c:pt idx="10">
                  <c:v>8613</c:v>
                </c:pt>
                <c:pt idx="11">
                  <c:v>8628</c:v>
                </c:pt>
                <c:pt idx="12">
                  <c:v>8633</c:v>
                </c:pt>
                <c:pt idx="13">
                  <c:v>8640</c:v>
                </c:pt>
                <c:pt idx="14">
                  <c:v>8641</c:v>
                </c:pt>
              </c:strCache>
            </c:strRef>
          </c:cat>
          <c:val>
            <c:numRef>
              <c:f>'Mitt Distrikt YTD'!$T$7:$T$27</c:f>
              <c:numCache>
                <c:formatCode>0.00%</c:formatCode>
                <c:ptCount val="21"/>
                <c:pt idx="0">
                  <c:v>-1.8317346714663445E-2</c:v>
                </c:pt>
                <c:pt idx="1">
                  <c:v>-1.7060317714969412E-2</c:v>
                </c:pt>
                <c:pt idx="2">
                  <c:v>-1.9825597451105827E-2</c:v>
                </c:pt>
                <c:pt idx="3">
                  <c:v>-2.2143150689560361E-2</c:v>
                </c:pt>
                <c:pt idx="4">
                  <c:v>-3.0042111577900706E-2</c:v>
                </c:pt>
                <c:pt idx="5">
                  <c:v>-1.4532844206062649E-2</c:v>
                </c:pt>
                <c:pt idx="6">
                  <c:v>-1.8635631369260042E-2</c:v>
                </c:pt>
                <c:pt idx="7">
                  <c:v>-1.333259904937086E-2</c:v>
                </c:pt>
                <c:pt idx="8">
                  <c:v>-2.6370470017356363E-2</c:v>
                </c:pt>
                <c:pt idx="9">
                  <c:v>-3.7667744697482762E-2</c:v>
                </c:pt>
                <c:pt idx="10">
                  <c:v>-1.6185379405419566E-2</c:v>
                </c:pt>
                <c:pt idx="11">
                  <c:v>-1.7914513317077302E-2</c:v>
                </c:pt>
                <c:pt idx="12">
                  <c:v>-1.7302969696797885E-2</c:v>
                </c:pt>
                <c:pt idx="13">
                  <c:v>-1.8959609413596031E-2</c:v>
                </c:pt>
                <c:pt idx="14">
                  <c:v>-8.152310976323407E-3</c:v>
                </c:pt>
              </c:numCache>
            </c:numRef>
          </c:val>
          <c:extLst>
            <c:ext xmlns:c16="http://schemas.microsoft.com/office/drawing/2014/chart" uri="{C3380CC4-5D6E-409C-BE32-E72D297353CC}">
              <c16:uniqueId val="{00000000-E029-46C6-9B5E-F6D0E0AC52E9}"/>
            </c:ext>
          </c:extLst>
        </c:ser>
        <c:ser>
          <c:idx val="1"/>
          <c:order val="1"/>
          <c:invertIfNegative val="0"/>
          <c:cat>
            <c:strRef>
              <c:f>'Mitt Distrikt'!$C$7:$C$27</c:f>
              <c:strCache>
                <c:ptCount val="1"/>
                <c:pt idx="0">
                  <c:v>1234</c:v>
                </c:pt>
              </c:strCache>
            </c:strRef>
          </c:cat>
          <c:val>
            <c:numRef>
              <c:f>'Mitt Distrikt'!$U$7:$U$27</c:f>
            </c:numRef>
          </c:val>
          <c:extLst>
            <c:ext xmlns:c16="http://schemas.microsoft.com/office/drawing/2014/chart" uri="{C3380CC4-5D6E-409C-BE32-E72D297353CC}">
              <c16:uniqueId val="{00000001-E029-46C6-9B5E-F6D0E0AC52E9}"/>
            </c:ext>
          </c:extLst>
        </c:ser>
        <c:ser>
          <c:idx val="2"/>
          <c:order val="2"/>
          <c:tx>
            <c:v>MD%</c:v>
          </c:tx>
          <c:spPr>
            <a:solidFill>
              <a:schemeClr val="accent1">
                <a:lumMod val="50000"/>
              </a:schemeClr>
            </a:solidFill>
          </c:spPr>
          <c:invertIfNegative val="0"/>
          <c:val>
            <c:numRef>
              <c:f>'Mitt Distrikt YTD'!$Y$7:$Y$27</c:f>
              <c:numCache>
                <c:formatCode>0.00%</c:formatCode>
                <c:ptCount val="21"/>
                <c:pt idx="0">
                  <c:v>-5.3138531174821042E-3</c:v>
                </c:pt>
                <c:pt idx="1">
                  <c:v>-4.1660512749233892E-3</c:v>
                </c:pt>
                <c:pt idx="2">
                  <c:v>-4.2134272106668083E-3</c:v>
                </c:pt>
                <c:pt idx="3">
                  <c:v>-1.5656008030080076E-3</c:v>
                </c:pt>
                <c:pt idx="4">
                  <c:v>-4.3198881507378493E-3</c:v>
                </c:pt>
                <c:pt idx="5">
                  <c:v>-1.4893992262749931E-3</c:v>
                </c:pt>
                <c:pt idx="6">
                  <c:v>-4.5255087141332917E-3</c:v>
                </c:pt>
                <c:pt idx="7">
                  <c:v>-2.3089483500766768E-3</c:v>
                </c:pt>
                <c:pt idx="8">
                  <c:v>-3.2331670732864567E-3</c:v>
                </c:pt>
                <c:pt idx="9">
                  <c:v>-5.3711028469997212E-3</c:v>
                </c:pt>
                <c:pt idx="10">
                  <c:v>-2.6204771945643086E-3</c:v>
                </c:pt>
                <c:pt idx="11">
                  <c:v>-2.9140751203679482E-3</c:v>
                </c:pt>
                <c:pt idx="12">
                  <c:v>-3.8942990957073873E-3</c:v>
                </c:pt>
                <c:pt idx="13">
                  <c:v>-4.7499607211422138E-3</c:v>
                </c:pt>
                <c:pt idx="14">
                  <c:v>-4.2302891346430241E-3</c:v>
                </c:pt>
              </c:numCache>
            </c:numRef>
          </c:val>
          <c:extLst>
            <c:ext xmlns:c16="http://schemas.microsoft.com/office/drawing/2014/chart" uri="{C3380CC4-5D6E-409C-BE32-E72D297353CC}">
              <c16:uniqueId val="{00000002-E029-46C6-9B5E-F6D0E0AC52E9}"/>
            </c:ext>
          </c:extLst>
        </c:ser>
        <c:dLbls>
          <c:showLegendKey val="0"/>
          <c:showVal val="0"/>
          <c:showCatName val="0"/>
          <c:showSerName val="0"/>
          <c:showPercent val="0"/>
          <c:showBubbleSize val="0"/>
        </c:dLbls>
        <c:gapWidth val="150"/>
        <c:overlap val="100"/>
        <c:axId val="487987048"/>
        <c:axId val="487980776"/>
      </c:barChart>
      <c:catAx>
        <c:axId val="487987048"/>
        <c:scaling>
          <c:orientation val="minMax"/>
        </c:scaling>
        <c:delete val="0"/>
        <c:axPos val="b"/>
        <c:numFmt formatCode="General" sourceLinked="1"/>
        <c:majorTickMark val="none"/>
        <c:minorTickMark val="none"/>
        <c:tickLblPos val="nextTo"/>
        <c:crossAx val="487980776"/>
        <c:crosses val="autoZero"/>
        <c:auto val="1"/>
        <c:lblAlgn val="ctr"/>
        <c:lblOffset val="100"/>
        <c:noMultiLvlLbl val="0"/>
      </c:catAx>
      <c:valAx>
        <c:axId val="487980776"/>
        <c:scaling>
          <c:orientation val="minMax"/>
        </c:scaling>
        <c:delete val="0"/>
        <c:axPos val="l"/>
        <c:majorGridlines/>
        <c:title>
          <c:overlay val="0"/>
        </c:title>
        <c:numFmt formatCode="0.00%" sourceLinked="1"/>
        <c:majorTickMark val="none"/>
        <c:minorTickMark val="none"/>
        <c:tickLblPos val="nextTo"/>
        <c:crossAx val="48798704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BudPer!$B$2</c:f>
              <c:strCache>
                <c:ptCount val="1"/>
                <c:pt idx="0">
                  <c:v>Realisert 2014</c:v>
                </c:pt>
              </c:strCache>
            </c:strRef>
          </c:tx>
          <c:spPr>
            <a:ln w="12700">
              <a:prstDash val="sysDash"/>
            </a:ln>
          </c:spPr>
          <c:marker>
            <c:symbol val="none"/>
          </c:marker>
          <c:cat>
            <c:numRef>
              <c:f>BudPer!$A$3:$A$55</c:f>
              <c:numCache>
                <c:formatCode>General</c:formatCode>
                <c:ptCount val="5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numCache>
            </c:numRef>
          </c:cat>
          <c:val>
            <c:numRef>
              <c:f>BudPer!$B$3:$B$55</c:f>
              <c:numCache>
                <c:formatCode>_ * #\ ##0_ ;_ * \-#\ ##0_ ;_ * "-"??_ ;_ @_ </c:formatCode>
                <c:ptCount val="53"/>
                <c:pt idx="0">
                  <c:v>0</c:v>
                </c:pt>
                <c:pt idx="1">
                  <c:v>819269</c:v>
                </c:pt>
                <c:pt idx="2">
                  <c:v>1716674</c:v>
                </c:pt>
                <c:pt idx="3">
                  <c:v>1711652</c:v>
                </c:pt>
                <c:pt idx="4">
                  <c:v>1694638</c:v>
                </c:pt>
                <c:pt idx="5">
                  <c:v>1724348</c:v>
                </c:pt>
                <c:pt idx="6">
                  <c:v>1678960</c:v>
                </c:pt>
                <c:pt idx="7">
                  <c:v>1658897</c:v>
                </c:pt>
                <c:pt idx="8">
                  <c:v>1637594</c:v>
                </c:pt>
                <c:pt idx="9">
                  <c:v>1668715</c:v>
                </c:pt>
                <c:pt idx="10">
                  <c:v>1799094</c:v>
                </c:pt>
                <c:pt idx="11">
                  <c:v>1690627</c:v>
                </c:pt>
                <c:pt idx="12">
                  <c:v>1702039</c:v>
                </c:pt>
                <c:pt idx="13">
                  <c:v>1620184</c:v>
                </c:pt>
                <c:pt idx="14">
                  <c:v>1564167</c:v>
                </c:pt>
                <c:pt idx="15">
                  <c:v>1683010</c:v>
                </c:pt>
                <c:pt idx="16">
                  <c:v>1239212</c:v>
                </c:pt>
                <c:pt idx="17">
                  <c:v>1348244</c:v>
                </c:pt>
                <c:pt idx="18">
                  <c:v>1480464</c:v>
                </c:pt>
                <c:pt idx="19">
                  <c:v>1637968</c:v>
                </c:pt>
                <c:pt idx="20">
                  <c:v>1917157</c:v>
                </c:pt>
                <c:pt idx="21">
                  <c:v>1594397</c:v>
                </c:pt>
                <c:pt idx="22">
                  <c:v>1450362</c:v>
                </c:pt>
                <c:pt idx="23">
                  <c:v>1674809</c:v>
                </c:pt>
                <c:pt idx="24">
                  <c:v>1434754</c:v>
                </c:pt>
                <c:pt idx="25">
                  <c:v>1558295</c:v>
                </c:pt>
                <c:pt idx="26">
                  <c:v>1494633</c:v>
                </c:pt>
                <c:pt idx="27">
                  <c:v>1281064</c:v>
                </c:pt>
                <c:pt idx="28">
                  <c:v>1164062</c:v>
                </c:pt>
                <c:pt idx="29">
                  <c:v>1081060</c:v>
                </c:pt>
                <c:pt idx="30">
                  <c:v>1056906</c:v>
                </c:pt>
                <c:pt idx="31">
                  <c:v>1219002</c:v>
                </c:pt>
                <c:pt idx="32">
                  <c:v>1360509</c:v>
                </c:pt>
                <c:pt idx="33">
                  <c:v>1653580</c:v>
                </c:pt>
                <c:pt idx="34">
                  <c:v>1668548</c:v>
                </c:pt>
                <c:pt idx="35">
                  <c:v>1520034</c:v>
                </c:pt>
                <c:pt idx="36">
                  <c:v>1546877</c:v>
                </c:pt>
                <c:pt idx="37">
                  <c:v>1536453</c:v>
                </c:pt>
                <c:pt idx="38">
                  <c:v>1547257</c:v>
                </c:pt>
                <c:pt idx="39">
                  <c:v>1748333</c:v>
                </c:pt>
                <c:pt idx="40">
                  <c:v>1462568</c:v>
                </c:pt>
                <c:pt idx="41">
                  <c:v>1760999</c:v>
                </c:pt>
                <c:pt idx="42">
                  <c:v>1729798</c:v>
                </c:pt>
                <c:pt idx="43">
                  <c:v>1614217</c:v>
                </c:pt>
                <c:pt idx="44">
                  <c:v>1664639</c:v>
                </c:pt>
                <c:pt idx="45">
                  <c:v>1733639</c:v>
                </c:pt>
                <c:pt idx="46">
                  <c:v>1618265</c:v>
                </c:pt>
                <c:pt idx="47">
                  <c:v>1677963</c:v>
                </c:pt>
                <c:pt idx="48">
                  <c:v>1699639</c:v>
                </c:pt>
                <c:pt idx="49">
                  <c:v>1742554</c:v>
                </c:pt>
                <c:pt idx="50">
                  <c:v>1789628</c:v>
                </c:pt>
                <c:pt idx="51">
                  <c:v>2033399</c:v>
                </c:pt>
                <c:pt idx="52">
                  <c:v>1589157</c:v>
                </c:pt>
              </c:numCache>
            </c:numRef>
          </c:val>
          <c:smooth val="0"/>
          <c:extLst>
            <c:ext xmlns:c16="http://schemas.microsoft.com/office/drawing/2014/chart" uri="{C3380CC4-5D6E-409C-BE32-E72D297353CC}">
              <c16:uniqueId val="{00000000-EC3D-4339-840C-68B6829315B8}"/>
            </c:ext>
          </c:extLst>
        </c:ser>
        <c:ser>
          <c:idx val="1"/>
          <c:order val="1"/>
          <c:tx>
            <c:strRef>
              <c:f>BudPer!$D$2</c:f>
              <c:strCache>
                <c:ptCount val="1"/>
                <c:pt idx="0">
                  <c:v>Realisert 2015</c:v>
                </c:pt>
              </c:strCache>
            </c:strRef>
          </c:tx>
          <c:spPr>
            <a:ln w="12700">
              <a:prstDash val="sysDash"/>
            </a:ln>
          </c:spPr>
          <c:marker>
            <c:symbol val="none"/>
          </c:marker>
          <c:cat>
            <c:numRef>
              <c:f>BudPer!$A$3:$A$55</c:f>
              <c:numCache>
                <c:formatCode>General</c:formatCode>
                <c:ptCount val="5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numCache>
            </c:numRef>
          </c:cat>
          <c:val>
            <c:numRef>
              <c:f>BudPer!$D$3:$D$55</c:f>
              <c:numCache>
                <c:formatCode>_ * #\ ##0_ ;_ * \-#\ ##0_ ;_ * "-"??_ ;_ @_ </c:formatCode>
                <c:ptCount val="53"/>
                <c:pt idx="0">
                  <c:v>0</c:v>
                </c:pt>
                <c:pt idx="1">
                  <c:v>512403</c:v>
                </c:pt>
                <c:pt idx="2">
                  <c:v>1719978</c:v>
                </c:pt>
                <c:pt idx="3">
                  <c:v>1721569</c:v>
                </c:pt>
                <c:pt idx="4">
                  <c:v>1782354</c:v>
                </c:pt>
                <c:pt idx="5">
                  <c:v>1716422</c:v>
                </c:pt>
                <c:pt idx="6">
                  <c:v>1696404</c:v>
                </c:pt>
                <c:pt idx="7">
                  <c:v>1664714</c:v>
                </c:pt>
                <c:pt idx="8">
                  <c:v>1603161</c:v>
                </c:pt>
                <c:pt idx="9">
                  <c:v>1754192</c:v>
                </c:pt>
                <c:pt idx="10">
                  <c:v>1811954</c:v>
                </c:pt>
                <c:pt idx="11">
                  <c:v>1787817</c:v>
                </c:pt>
                <c:pt idx="12">
                  <c:v>1692693</c:v>
                </c:pt>
                <c:pt idx="13">
                  <c:v>1610353</c:v>
                </c:pt>
                <c:pt idx="14">
                  <c:v>1155171</c:v>
                </c:pt>
                <c:pt idx="15">
                  <c:v>1377164</c:v>
                </c:pt>
                <c:pt idx="16">
                  <c:v>1508298</c:v>
                </c:pt>
                <c:pt idx="17">
                  <c:v>1591943</c:v>
                </c:pt>
                <c:pt idx="18">
                  <c:v>1375640</c:v>
                </c:pt>
                <c:pt idx="19">
                  <c:v>1562620</c:v>
                </c:pt>
                <c:pt idx="20">
                  <c:v>2005116</c:v>
                </c:pt>
                <c:pt idx="21">
                  <c:v>1513124</c:v>
                </c:pt>
                <c:pt idx="22">
                  <c:v>1402074</c:v>
                </c:pt>
                <c:pt idx="23">
                  <c:v>1730551</c:v>
                </c:pt>
                <c:pt idx="24">
                  <c:v>1537632</c:v>
                </c:pt>
                <c:pt idx="25">
                  <c:v>1498915</c:v>
                </c:pt>
                <c:pt idx="26">
                  <c:v>1354976</c:v>
                </c:pt>
                <c:pt idx="27">
                  <c:v>1244260</c:v>
                </c:pt>
                <c:pt idx="28">
                  <c:v>1111206</c:v>
                </c:pt>
                <c:pt idx="29">
                  <c:v>1059833</c:v>
                </c:pt>
                <c:pt idx="30">
                  <c:v>1038179</c:v>
                </c:pt>
                <c:pt idx="31">
                  <c:v>1156346</c:v>
                </c:pt>
                <c:pt idx="32">
                  <c:v>1261389</c:v>
                </c:pt>
                <c:pt idx="33">
                  <c:v>1390682</c:v>
                </c:pt>
                <c:pt idx="34">
                  <c:v>1626613</c:v>
                </c:pt>
                <c:pt idx="35">
                  <c:v>1453851</c:v>
                </c:pt>
                <c:pt idx="36">
                  <c:v>1483453</c:v>
                </c:pt>
                <c:pt idx="37">
                  <c:v>1553382</c:v>
                </c:pt>
                <c:pt idx="38">
                  <c:v>1513581</c:v>
                </c:pt>
                <c:pt idx="39">
                  <c:v>1394687</c:v>
                </c:pt>
                <c:pt idx="40">
                  <c:v>1301936</c:v>
                </c:pt>
                <c:pt idx="41">
                  <c:v>1298327</c:v>
                </c:pt>
                <c:pt idx="42">
                  <c:v>1052480</c:v>
                </c:pt>
                <c:pt idx="43">
                  <c:v>1049610</c:v>
                </c:pt>
                <c:pt idx="44">
                  <c:v>1601597</c:v>
                </c:pt>
                <c:pt idx="45">
                  <c:v>1562477</c:v>
                </c:pt>
                <c:pt idx="46">
                  <c:v>1650508</c:v>
                </c:pt>
                <c:pt idx="47">
                  <c:v>1645519</c:v>
                </c:pt>
                <c:pt idx="48">
                  <c:v>1636756</c:v>
                </c:pt>
                <c:pt idx="49">
                  <c:v>1746649</c:v>
                </c:pt>
                <c:pt idx="50">
                  <c:v>1726930</c:v>
                </c:pt>
                <c:pt idx="51">
                  <c:v>1940042</c:v>
                </c:pt>
                <c:pt idx="52">
                  <c:v>1543637</c:v>
                </c:pt>
              </c:numCache>
            </c:numRef>
          </c:val>
          <c:smooth val="0"/>
          <c:extLst>
            <c:ext xmlns:c16="http://schemas.microsoft.com/office/drawing/2014/chart" uri="{C3380CC4-5D6E-409C-BE32-E72D297353CC}">
              <c16:uniqueId val="{00000001-EC3D-4339-840C-68B6829315B8}"/>
            </c:ext>
          </c:extLst>
        </c:ser>
        <c:ser>
          <c:idx val="2"/>
          <c:order val="2"/>
          <c:tx>
            <c:strRef>
              <c:f>BudPer!$H$2</c:f>
              <c:strCache>
                <c:ptCount val="1"/>
                <c:pt idx="0">
                  <c:v>NY Periodisert Omsetning 2016</c:v>
                </c:pt>
              </c:strCache>
            </c:strRef>
          </c:tx>
          <c:spPr>
            <a:ln>
              <a:solidFill>
                <a:srgbClr val="FF0000"/>
              </a:solidFill>
            </a:ln>
          </c:spPr>
          <c:marker>
            <c:symbol val="none"/>
          </c:marker>
          <c:cat>
            <c:numRef>
              <c:f>BudPer!$A$3:$A$55</c:f>
              <c:numCache>
                <c:formatCode>General</c:formatCode>
                <c:ptCount val="5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numCache>
            </c:numRef>
          </c:cat>
          <c:val>
            <c:numRef>
              <c:f>BudPer!$H$3:$H$55</c:f>
              <c:numCache>
                <c:formatCode>_ * #\ ##0_ ;_ * \-#\ ##0_ ;_ * "-"??_ ;_ @_ </c:formatCode>
                <c:ptCount val="53"/>
                <c:pt idx="0">
                  <c:v>400000</c:v>
                </c:pt>
                <c:pt idx="1">
                  <c:v>1894000</c:v>
                </c:pt>
                <c:pt idx="2">
                  <c:v>1809000</c:v>
                </c:pt>
                <c:pt idx="3">
                  <c:v>1751000</c:v>
                </c:pt>
                <c:pt idx="4">
                  <c:v>1821000</c:v>
                </c:pt>
                <c:pt idx="5">
                  <c:v>1822000</c:v>
                </c:pt>
                <c:pt idx="6">
                  <c:v>1905000</c:v>
                </c:pt>
                <c:pt idx="7">
                  <c:v>1685000</c:v>
                </c:pt>
                <c:pt idx="8">
                  <c:v>1663000</c:v>
                </c:pt>
                <c:pt idx="9">
                  <c:v>1745000</c:v>
                </c:pt>
                <c:pt idx="10">
                  <c:v>1789000</c:v>
                </c:pt>
                <c:pt idx="11">
                  <c:v>1710000</c:v>
                </c:pt>
                <c:pt idx="12">
                  <c:v>1309000</c:v>
                </c:pt>
                <c:pt idx="13">
                  <c:v>1570000</c:v>
                </c:pt>
                <c:pt idx="14">
                  <c:v>1589000</c:v>
                </c:pt>
                <c:pt idx="15">
                  <c:v>1664000</c:v>
                </c:pt>
                <c:pt idx="16">
                  <c:v>1664000</c:v>
                </c:pt>
                <c:pt idx="17">
                  <c:v>1664000</c:v>
                </c:pt>
                <c:pt idx="18">
                  <c:v>1504000</c:v>
                </c:pt>
                <c:pt idx="19">
                  <c:v>2077000</c:v>
                </c:pt>
                <c:pt idx="20">
                  <c:v>1157000</c:v>
                </c:pt>
                <c:pt idx="21">
                  <c:v>1620000</c:v>
                </c:pt>
                <c:pt idx="22">
                  <c:v>1620000</c:v>
                </c:pt>
                <c:pt idx="23">
                  <c:v>1620000</c:v>
                </c:pt>
                <c:pt idx="24">
                  <c:v>1620000</c:v>
                </c:pt>
                <c:pt idx="25">
                  <c:v>1583000</c:v>
                </c:pt>
                <c:pt idx="26">
                  <c:v>1518000</c:v>
                </c:pt>
                <c:pt idx="27">
                  <c:v>1301000</c:v>
                </c:pt>
                <c:pt idx="28">
                  <c:v>1183000</c:v>
                </c:pt>
                <c:pt idx="29">
                  <c:v>1098000</c:v>
                </c:pt>
                <c:pt idx="30">
                  <c:v>1074000</c:v>
                </c:pt>
                <c:pt idx="31">
                  <c:v>1238000</c:v>
                </c:pt>
                <c:pt idx="32">
                  <c:v>1382000</c:v>
                </c:pt>
                <c:pt idx="33">
                  <c:v>1630000</c:v>
                </c:pt>
                <c:pt idx="34">
                  <c:v>1695000</c:v>
                </c:pt>
                <c:pt idx="35">
                  <c:v>1594000</c:v>
                </c:pt>
                <c:pt idx="36">
                  <c:v>1771000</c:v>
                </c:pt>
                <c:pt idx="37">
                  <c:v>1761000</c:v>
                </c:pt>
                <c:pt idx="38">
                  <c:v>1572000</c:v>
                </c:pt>
                <c:pt idx="39">
                  <c:v>1626000</c:v>
                </c:pt>
                <c:pt idx="40">
                  <c:v>1486000</c:v>
                </c:pt>
                <c:pt idx="41">
                  <c:v>1639000</c:v>
                </c:pt>
                <c:pt idx="42">
                  <c:v>1757000</c:v>
                </c:pt>
                <c:pt idx="43">
                  <c:v>1765000</c:v>
                </c:pt>
                <c:pt idx="44">
                  <c:v>1691000</c:v>
                </c:pt>
                <c:pt idx="45">
                  <c:v>1661000</c:v>
                </c:pt>
                <c:pt idx="46">
                  <c:v>1644000</c:v>
                </c:pt>
                <c:pt idx="47">
                  <c:v>1704000</c:v>
                </c:pt>
                <c:pt idx="48">
                  <c:v>1726000</c:v>
                </c:pt>
                <c:pt idx="49">
                  <c:v>1770000</c:v>
                </c:pt>
                <c:pt idx="50">
                  <c:v>1977000</c:v>
                </c:pt>
                <c:pt idx="51">
                  <c:v>2033000</c:v>
                </c:pt>
                <c:pt idx="52">
                  <c:v>1570726</c:v>
                </c:pt>
              </c:numCache>
            </c:numRef>
          </c:val>
          <c:smooth val="0"/>
          <c:extLst>
            <c:ext xmlns:c16="http://schemas.microsoft.com/office/drawing/2014/chart" uri="{C3380CC4-5D6E-409C-BE32-E72D297353CC}">
              <c16:uniqueId val="{00000002-EC3D-4339-840C-68B6829315B8}"/>
            </c:ext>
          </c:extLst>
        </c:ser>
        <c:ser>
          <c:idx val="3"/>
          <c:order val="3"/>
          <c:tx>
            <c:strRef>
              <c:f>BudPer!$C$2</c:f>
              <c:strCache>
                <c:ptCount val="1"/>
                <c:pt idx="0">
                  <c:v>P&amp;L Budsjett 2016</c:v>
                </c:pt>
              </c:strCache>
            </c:strRef>
          </c:tx>
          <c:spPr>
            <a:ln w="19050">
              <a:solidFill>
                <a:schemeClr val="accent3">
                  <a:lumMod val="75000"/>
                </a:schemeClr>
              </a:solidFill>
              <a:prstDash val="sysDash"/>
            </a:ln>
          </c:spPr>
          <c:marker>
            <c:symbol val="none"/>
          </c:marker>
          <c:val>
            <c:numRef>
              <c:f>BudPer!$C$3:$C$55</c:f>
              <c:numCache>
                <c:formatCode>_ * #\ ##0_ ;_ * \-#\ ##0_ ;_ * "-"??_ ;_ @_ </c:formatCode>
                <c:ptCount val="53"/>
                <c:pt idx="0">
                  <c:v>359922</c:v>
                </c:pt>
                <c:pt idx="1">
                  <c:v>1739782</c:v>
                </c:pt>
                <c:pt idx="2">
                  <c:v>1751411</c:v>
                </c:pt>
                <c:pt idx="3">
                  <c:v>1763602</c:v>
                </c:pt>
                <c:pt idx="4">
                  <c:v>1756144</c:v>
                </c:pt>
                <c:pt idx="5">
                  <c:v>1735663</c:v>
                </c:pt>
                <c:pt idx="6">
                  <c:v>1703240</c:v>
                </c:pt>
                <c:pt idx="7">
                  <c:v>1690263</c:v>
                </c:pt>
                <c:pt idx="8">
                  <c:v>1704788</c:v>
                </c:pt>
                <c:pt idx="9">
                  <c:v>1753887</c:v>
                </c:pt>
                <c:pt idx="10">
                  <c:v>1729192</c:v>
                </c:pt>
                <c:pt idx="11">
                  <c:v>1551905</c:v>
                </c:pt>
                <c:pt idx="12">
                  <c:v>1209035</c:v>
                </c:pt>
                <c:pt idx="13">
                  <c:v>1420000</c:v>
                </c:pt>
                <c:pt idx="14">
                  <c:v>1749192</c:v>
                </c:pt>
                <c:pt idx="15">
                  <c:v>1731866</c:v>
                </c:pt>
                <c:pt idx="16">
                  <c:v>1647621</c:v>
                </c:pt>
                <c:pt idx="17">
                  <c:v>1630680</c:v>
                </c:pt>
                <c:pt idx="18">
                  <c:v>1528783</c:v>
                </c:pt>
                <c:pt idx="19">
                  <c:v>2051519</c:v>
                </c:pt>
                <c:pt idx="20">
                  <c:v>1233263</c:v>
                </c:pt>
                <c:pt idx="21">
                  <c:v>1670000</c:v>
                </c:pt>
                <c:pt idx="22">
                  <c:v>1700000</c:v>
                </c:pt>
                <c:pt idx="23">
                  <c:v>1573217</c:v>
                </c:pt>
                <c:pt idx="24">
                  <c:v>1533603</c:v>
                </c:pt>
                <c:pt idx="25">
                  <c:v>1386333</c:v>
                </c:pt>
                <c:pt idx="26">
                  <c:v>1273056</c:v>
                </c:pt>
                <c:pt idx="27">
                  <c:v>1136922</c:v>
                </c:pt>
                <c:pt idx="28">
                  <c:v>1084360</c:v>
                </c:pt>
                <c:pt idx="29">
                  <c:v>1062205</c:v>
                </c:pt>
                <c:pt idx="30">
                  <c:v>1183107</c:v>
                </c:pt>
                <c:pt idx="31">
                  <c:v>1392048</c:v>
                </c:pt>
                <c:pt idx="32">
                  <c:v>1601848</c:v>
                </c:pt>
                <c:pt idx="33">
                  <c:v>1677162</c:v>
                </c:pt>
                <c:pt idx="34">
                  <c:v>1625211</c:v>
                </c:pt>
                <c:pt idx="35">
                  <c:v>1642675</c:v>
                </c:pt>
                <c:pt idx="36">
                  <c:v>1672010</c:v>
                </c:pt>
                <c:pt idx="37">
                  <c:v>1683064</c:v>
                </c:pt>
                <c:pt idx="38">
                  <c:v>1738793</c:v>
                </c:pt>
                <c:pt idx="39">
                  <c:v>1596433</c:v>
                </c:pt>
                <c:pt idx="40">
                  <c:v>1686000</c:v>
                </c:pt>
                <c:pt idx="41">
                  <c:v>1719000</c:v>
                </c:pt>
                <c:pt idx="42">
                  <c:v>1651574</c:v>
                </c:pt>
                <c:pt idx="43">
                  <c:v>1703163</c:v>
                </c:pt>
                <c:pt idx="44">
                  <c:v>1731000</c:v>
                </c:pt>
                <c:pt idx="45">
                  <c:v>1695716</c:v>
                </c:pt>
                <c:pt idx="46">
                  <c:v>1746795</c:v>
                </c:pt>
                <c:pt idx="47">
                  <c:v>1758973</c:v>
                </c:pt>
                <c:pt idx="48">
                  <c:v>1792881</c:v>
                </c:pt>
                <c:pt idx="49">
                  <c:v>1831044</c:v>
                </c:pt>
                <c:pt idx="50">
                  <c:v>1850457</c:v>
                </c:pt>
                <c:pt idx="51">
                  <c:v>1941986</c:v>
                </c:pt>
                <c:pt idx="52">
                  <c:v>1354000</c:v>
                </c:pt>
              </c:numCache>
            </c:numRef>
          </c:val>
          <c:smooth val="0"/>
          <c:extLst>
            <c:ext xmlns:c16="http://schemas.microsoft.com/office/drawing/2014/chart" uri="{C3380CC4-5D6E-409C-BE32-E72D297353CC}">
              <c16:uniqueId val="{00000003-EC3D-4339-840C-68B6829315B8}"/>
            </c:ext>
          </c:extLst>
        </c:ser>
        <c:dLbls>
          <c:showLegendKey val="0"/>
          <c:showVal val="0"/>
          <c:showCatName val="0"/>
          <c:showSerName val="0"/>
          <c:showPercent val="0"/>
          <c:showBubbleSize val="0"/>
        </c:dLbls>
        <c:smooth val="0"/>
        <c:axId val="488003120"/>
        <c:axId val="488000376"/>
      </c:lineChart>
      <c:catAx>
        <c:axId val="488003120"/>
        <c:scaling>
          <c:orientation val="minMax"/>
        </c:scaling>
        <c:delete val="0"/>
        <c:axPos val="b"/>
        <c:numFmt formatCode="General" sourceLinked="1"/>
        <c:majorTickMark val="none"/>
        <c:minorTickMark val="none"/>
        <c:tickLblPos val="nextTo"/>
        <c:crossAx val="488000376"/>
        <c:crosses val="autoZero"/>
        <c:auto val="1"/>
        <c:lblAlgn val="ctr"/>
        <c:lblOffset val="100"/>
        <c:noMultiLvlLbl val="0"/>
      </c:catAx>
      <c:valAx>
        <c:axId val="488000376"/>
        <c:scaling>
          <c:orientation val="minMax"/>
        </c:scaling>
        <c:delete val="0"/>
        <c:axPos val="l"/>
        <c:numFmt formatCode="_ * #\ ##0_ ;_ * \-#\ ##0_ ;_ * &quot;-&quot;??_ ;_ @_ " sourceLinked="1"/>
        <c:majorTickMark val="none"/>
        <c:minorTickMark val="none"/>
        <c:tickLblPos val="nextTo"/>
        <c:crossAx val="488003120"/>
        <c:crosses val="autoZero"/>
        <c:crossBetween val="between"/>
      </c:valAx>
    </c:plotArea>
    <c:legend>
      <c:legendPos val="b"/>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BudPer!$P$2</c:f>
              <c:strCache>
                <c:ptCount val="1"/>
                <c:pt idx="0">
                  <c:v>Periodisert Lønn 2016                   Kroner / % / Antall Timer / OPAT</c:v>
                </c:pt>
              </c:strCache>
            </c:strRef>
          </c:tx>
          <c:marker>
            <c:symbol val="none"/>
          </c:marker>
          <c:cat>
            <c:numRef>
              <c:f>BudPer!$A$3:$A$55</c:f>
              <c:numCache>
                <c:formatCode>General</c:formatCode>
                <c:ptCount val="5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numCache>
            </c:numRef>
          </c:cat>
          <c:val>
            <c:numRef>
              <c:f>BudPer!$P$3:$P$55</c:f>
              <c:numCache>
                <c:formatCode>_ * #\ ##0_ ;_ * \-#\ ##0_ ;_ * "-"??_ ;_ @_ </c:formatCode>
                <c:ptCount val="53"/>
                <c:pt idx="0">
                  <c:v>-52276.615557373218</c:v>
                </c:pt>
                <c:pt idx="1">
                  <c:v>-216076.61555737321</c:v>
                </c:pt>
                <c:pt idx="2">
                  <c:v>-197176.61555737321</c:v>
                </c:pt>
                <c:pt idx="3">
                  <c:v>-184576.61555737321</c:v>
                </c:pt>
                <c:pt idx="4">
                  <c:v>-165676.61555737321</c:v>
                </c:pt>
                <c:pt idx="5">
                  <c:v>-173236.61555737321</c:v>
                </c:pt>
                <c:pt idx="6">
                  <c:v>-184576.61555737321</c:v>
                </c:pt>
                <c:pt idx="7">
                  <c:v>-203476.61555737321</c:v>
                </c:pt>
                <c:pt idx="8">
                  <c:v>-185836.61555737321</c:v>
                </c:pt>
                <c:pt idx="9">
                  <c:v>-185836.61555737321</c:v>
                </c:pt>
                <c:pt idx="10">
                  <c:v>-185836.61555737321</c:v>
                </c:pt>
                <c:pt idx="11">
                  <c:v>-185836.61555737321</c:v>
                </c:pt>
                <c:pt idx="12">
                  <c:v>-203476.61555737321</c:v>
                </c:pt>
                <c:pt idx="13">
                  <c:v>-178276.61555737321</c:v>
                </c:pt>
                <c:pt idx="14">
                  <c:v>-165676.61555737321</c:v>
                </c:pt>
                <c:pt idx="15">
                  <c:v>-165676.61555737321</c:v>
                </c:pt>
                <c:pt idx="16">
                  <c:v>-165676.61555737321</c:v>
                </c:pt>
                <c:pt idx="17">
                  <c:v>-172303.68017966812</c:v>
                </c:pt>
                <c:pt idx="18">
                  <c:v>-172303.68017966812</c:v>
                </c:pt>
                <c:pt idx="19">
                  <c:v>-224719.68017966812</c:v>
                </c:pt>
                <c:pt idx="20">
                  <c:v>-172303.68017966812</c:v>
                </c:pt>
                <c:pt idx="21">
                  <c:v>-227340.48017966814</c:v>
                </c:pt>
                <c:pt idx="22">
                  <c:v>-161820.48017966814</c:v>
                </c:pt>
                <c:pt idx="23">
                  <c:v>-161820.48017966814</c:v>
                </c:pt>
                <c:pt idx="24">
                  <c:v>-161820.48017966814</c:v>
                </c:pt>
                <c:pt idx="25">
                  <c:v>-161820.48017966814</c:v>
                </c:pt>
                <c:pt idx="26">
                  <c:v>-159199.68017966812</c:v>
                </c:pt>
                <c:pt idx="27">
                  <c:v>-132991.68017966812</c:v>
                </c:pt>
                <c:pt idx="28">
                  <c:v>-106783.68017966814</c:v>
                </c:pt>
                <c:pt idx="29">
                  <c:v>-93679.680179668139</c:v>
                </c:pt>
                <c:pt idx="30">
                  <c:v>-93679.680179668139</c:v>
                </c:pt>
                <c:pt idx="31">
                  <c:v>-106783.68017966814</c:v>
                </c:pt>
                <c:pt idx="32">
                  <c:v>-126439.68017966814</c:v>
                </c:pt>
                <c:pt idx="33">
                  <c:v>-172303.68017966812</c:v>
                </c:pt>
                <c:pt idx="34">
                  <c:v>-172303.68017966812</c:v>
                </c:pt>
                <c:pt idx="35">
                  <c:v>-172303.68017966812</c:v>
                </c:pt>
                <c:pt idx="36">
                  <c:v>-172303.68017966812</c:v>
                </c:pt>
                <c:pt idx="37">
                  <c:v>-172303.68017966812</c:v>
                </c:pt>
                <c:pt idx="38">
                  <c:v>-172303.68017966812</c:v>
                </c:pt>
                <c:pt idx="39">
                  <c:v>-172303.68017966812</c:v>
                </c:pt>
                <c:pt idx="40">
                  <c:v>-172303.68017966812</c:v>
                </c:pt>
                <c:pt idx="41">
                  <c:v>-172303.68017966812</c:v>
                </c:pt>
                <c:pt idx="42">
                  <c:v>-172303.68017966812</c:v>
                </c:pt>
                <c:pt idx="43">
                  <c:v>-237823.68017966812</c:v>
                </c:pt>
                <c:pt idx="44">
                  <c:v>-172303.68017966812</c:v>
                </c:pt>
                <c:pt idx="45">
                  <c:v>-172303.68017966812</c:v>
                </c:pt>
                <c:pt idx="46">
                  <c:v>-172303.68017966812</c:v>
                </c:pt>
                <c:pt idx="47">
                  <c:v>-177545.28017966813</c:v>
                </c:pt>
                <c:pt idx="48">
                  <c:v>-191959.68017966812</c:v>
                </c:pt>
                <c:pt idx="49">
                  <c:v>-198511.68017966812</c:v>
                </c:pt>
                <c:pt idx="50">
                  <c:v>-231271.68017966812</c:v>
                </c:pt>
                <c:pt idx="51">
                  <c:v>-342655.68017966812</c:v>
                </c:pt>
                <c:pt idx="52">
                  <c:v>-198511.68017966812</c:v>
                </c:pt>
              </c:numCache>
            </c:numRef>
          </c:val>
          <c:smooth val="0"/>
          <c:extLst>
            <c:ext xmlns:c16="http://schemas.microsoft.com/office/drawing/2014/chart" uri="{C3380CC4-5D6E-409C-BE32-E72D297353CC}">
              <c16:uniqueId val="{00000000-D27D-4C6B-9A0D-B98C4EE7915F}"/>
            </c:ext>
          </c:extLst>
        </c:ser>
        <c:ser>
          <c:idx val="1"/>
          <c:order val="1"/>
          <c:tx>
            <c:strRef>
              <c:f>BudPer!$I$2</c:f>
              <c:strCache>
                <c:ptCount val="1"/>
                <c:pt idx="0">
                  <c:v>Real Lønn 2015</c:v>
                </c:pt>
              </c:strCache>
            </c:strRef>
          </c:tx>
          <c:marker>
            <c:symbol val="none"/>
          </c:marker>
          <c:val>
            <c:numRef>
              <c:f>BudPer!$I$3:$I$55</c:f>
              <c:numCache>
                <c:formatCode>_ * #\ ##0_ ;_ * \-#\ ##0_ ;_ * "-"??_ ;_ @_ </c:formatCode>
                <c:ptCount val="53"/>
                <c:pt idx="1">
                  <c:v>-87944</c:v>
                </c:pt>
                <c:pt idx="2">
                  <c:v>-177811</c:v>
                </c:pt>
                <c:pt idx="3">
                  <c:v>-189545</c:v>
                </c:pt>
                <c:pt idx="4">
                  <c:v>-170106</c:v>
                </c:pt>
                <c:pt idx="5">
                  <c:v>-185211</c:v>
                </c:pt>
                <c:pt idx="6">
                  <c:v>-181728</c:v>
                </c:pt>
                <c:pt idx="7">
                  <c:v>-182854</c:v>
                </c:pt>
                <c:pt idx="8">
                  <c:v>-187505</c:v>
                </c:pt>
                <c:pt idx="9">
                  <c:v>-184496</c:v>
                </c:pt>
                <c:pt idx="10">
                  <c:v>-195867</c:v>
                </c:pt>
                <c:pt idx="11">
                  <c:v>-180374</c:v>
                </c:pt>
                <c:pt idx="12">
                  <c:v>-181605</c:v>
                </c:pt>
                <c:pt idx="13">
                  <c:v>-178658</c:v>
                </c:pt>
                <c:pt idx="14">
                  <c:v>-226201</c:v>
                </c:pt>
                <c:pt idx="15">
                  <c:v>-177847</c:v>
                </c:pt>
                <c:pt idx="16">
                  <c:v>-191175</c:v>
                </c:pt>
                <c:pt idx="17">
                  <c:v>-259025</c:v>
                </c:pt>
                <c:pt idx="18">
                  <c:v>-193821</c:v>
                </c:pt>
                <c:pt idx="19">
                  <c:v>-188562</c:v>
                </c:pt>
                <c:pt idx="20">
                  <c:v>-200841</c:v>
                </c:pt>
                <c:pt idx="21">
                  <c:v>-182289</c:v>
                </c:pt>
                <c:pt idx="22">
                  <c:v>-169222</c:v>
                </c:pt>
                <c:pt idx="23">
                  <c:v>-185107</c:v>
                </c:pt>
                <c:pt idx="24">
                  <c:v>-175949</c:v>
                </c:pt>
                <c:pt idx="25">
                  <c:v>-162455</c:v>
                </c:pt>
                <c:pt idx="26">
                  <c:v>-147176</c:v>
                </c:pt>
                <c:pt idx="27">
                  <c:v>-138509</c:v>
                </c:pt>
                <c:pt idx="28">
                  <c:v>-148444</c:v>
                </c:pt>
                <c:pt idx="29">
                  <c:v>-132631</c:v>
                </c:pt>
                <c:pt idx="30">
                  <c:v>-131869</c:v>
                </c:pt>
                <c:pt idx="31">
                  <c:v>-122601</c:v>
                </c:pt>
                <c:pt idx="32">
                  <c:v>-142725</c:v>
                </c:pt>
                <c:pt idx="33">
                  <c:v>-162203</c:v>
                </c:pt>
                <c:pt idx="34">
                  <c:v>-169346</c:v>
                </c:pt>
                <c:pt idx="35">
                  <c:v>-167070</c:v>
                </c:pt>
                <c:pt idx="36">
                  <c:v>-157270</c:v>
                </c:pt>
                <c:pt idx="37">
                  <c:v>-163181</c:v>
                </c:pt>
                <c:pt idx="38">
                  <c:v>-176295</c:v>
                </c:pt>
                <c:pt idx="39">
                  <c:v>-153900</c:v>
                </c:pt>
                <c:pt idx="40">
                  <c:v>-172313</c:v>
                </c:pt>
                <c:pt idx="41">
                  <c:v>-158927</c:v>
                </c:pt>
                <c:pt idx="42">
                  <c:v>-215449</c:v>
                </c:pt>
                <c:pt idx="43">
                  <c:v>-227667</c:v>
                </c:pt>
                <c:pt idx="44">
                  <c:v>-207478</c:v>
                </c:pt>
                <c:pt idx="45">
                  <c:v>-194591</c:v>
                </c:pt>
                <c:pt idx="46">
                  <c:v>-194780</c:v>
                </c:pt>
                <c:pt idx="47">
                  <c:v>-194385</c:v>
                </c:pt>
                <c:pt idx="48">
                  <c:v>-177809</c:v>
                </c:pt>
                <c:pt idx="49">
                  <c:v>-184724</c:v>
                </c:pt>
                <c:pt idx="50">
                  <c:v>-181704</c:v>
                </c:pt>
                <c:pt idx="51">
                  <c:v>-204152</c:v>
                </c:pt>
                <c:pt idx="52">
                  <c:v>-172116</c:v>
                </c:pt>
              </c:numCache>
            </c:numRef>
          </c:val>
          <c:smooth val="0"/>
          <c:extLst>
            <c:ext xmlns:c16="http://schemas.microsoft.com/office/drawing/2014/chart" uri="{C3380CC4-5D6E-409C-BE32-E72D297353CC}">
              <c16:uniqueId val="{00000001-D27D-4C6B-9A0D-B98C4EE7915F}"/>
            </c:ext>
          </c:extLst>
        </c:ser>
        <c:dLbls>
          <c:showLegendKey val="0"/>
          <c:showVal val="0"/>
          <c:showCatName val="0"/>
          <c:showSerName val="0"/>
          <c:showPercent val="0"/>
          <c:showBubbleSize val="0"/>
        </c:dLbls>
        <c:smooth val="0"/>
        <c:axId val="488002728"/>
        <c:axId val="487991752"/>
      </c:lineChart>
      <c:catAx>
        <c:axId val="488002728"/>
        <c:scaling>
          <c:orientation val="minMax"/>
        </c:scaling>
        <c:delete val="0"/>
        <c:axPos val="t"/>
        <c:numFmt formatCode="General" sourceLinked="1"/>
        <c:majorTickMark val="none"/>
        <c:minorTickMark val="none"/>
        <c:tickLblPos val="nextTo"/>
        <c:crossAx val="487991752"/>
        <c:crosses val="autoZero"/>
        <c:auto val="1"/>
        <c:lblAlgn val="ctr"/>
        <c:lblOffset val="100"/>
        <c:noMultiLvlLbl val="0"/>
      </c:catAx>
      <c:valAx>
        <c:axId val="487991752"/>
        <c:scaling>
          <c:orientation val="maxMin"/>
        </c:scaling>
        <c:delete val="0"/>
        <c:axPos val="l"/>
        <c:numFmt formatCode="_ * #\ ##0_ ;_ * \-#\ ##0_ ;_ * &quot;-&quot;??_ ;_ @_ " sourceLinked="1"/>
        <c:majorTickMark val="none"/>
        <c:minorTickMark val="none"/>
        <c:tickLblPos val="nextTo"/>
        <c:crossAx val="488002728"/>
        <c:crosses val="autoZero"/>
        <c:crossBetween val="between"/>
      </c:valAx>
    </c:plotArea>
    <c:legend>
      <c:legendPos val="b"/>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chartsheets/sheet1.xml><?xml version="1.0" encoding="utf-8"?>
<chartsheet xmlns="http://schemas.openxmlformats.org/spreadsheetml/2006/main" xmlns:r="http://schemas.openxmlformats.org/officeDocument/2006/relationships">
  <sheetPr codeName="Chart1">
    <tabColor theme="0"/>
  </sheetPr>
  <sheetViews>
    <sheetView zoomScale="125" workbookViewId="0" zoomToFit="1"/>
  </sheetViews>
  <pageMargins left="0.7" right="0.7" top="0.75" bottom="0.75" header="0.3" footer="0.3"/>
  <pageSetup paperSize="9" orientation="portrait" r:id="rId1"/>
  <headerFooter>
    <oddFooter>&amp;L&amp;1#&amp;"Calibri"&amp;8 Classification: Open</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zoomScale="81" workbookViewId="0" zoomToFit="1"/>
  </sheetViews>
  <pageMargins left="0.17" right="0.18" top="0.34" bottom="0.22" header="0.31496062992125984" footer="0.31496062992125984"/>
  <pageSetup paperSize="9" orientation="landscape" r:id="rId1"/>
  <headerFooter>
    <oddFooter>&amp;L&amp;1#&amp;"Calibri"&amp;8 Classification: Open</oddFooter>
  </headerFooter>
  <drawing r:id="rId2"/>
</chartsheet>
</file>

<file path=xl/ctrlProps/ctrlProp1.xml><?xml version="1.0" encoding="utf-8"?>
<formControlPr xmlns="http://schemas.microsoft.com/office/spreadsheetml/2009/9/main" objectType="Spin" dx="16" fmlaLink="#REF!" max="30000" page="10" val="0"/>
</file>

<file path=xl/ctrlProps/ctrlProp2.xml><?xml version="1.0" encoding="utf-8"?>
<formControlPr xmlns="http://schemas.microsoft.com/office/spreadsheetml/2009/9/main" objectType="Spin" dx="16" fmlaLink="#REF!" max="30000" page="10" val="0"/>
</file>

<file path=xl/ctrlProps/ctrlProp3.xml><?xml version="1.0" encoding="utf-8"?>
<formControlPr xmlns="http://schemas.microsoft.com/office/spreadsheetml/2009/9/main" objectType="Drop" dropStyle="combo" dx="16" fmlaLink="$A$3" fmlaRange="sysX!$A$26:$A$31" noThreeD="1" sel="4" val="0"/>
</file>

<file path=xl/ctrlProps/ctrlProp4.xml><?xml version="1.0" encoding="utf-8"?>
<formControlPr xmlns="http://schemas.microsoft.com/office/spreadsheetml/2009/9/main" objectType="Spin" dx="16" fmlaLink="$J$3" max="53" page="10" val="47"/>
</file>

<file path=xl/ctrlProps/ctrlProp5.xml><?xml version="1.0" encoding="utf-8"?>
<formControlPr xmlns="http://schemas.microsoft.com/office/spreadsheetml/2009/9/main" objectType="Spin" dx="16" fmlaLink="$B$3" max="2038" min="2011" page="10" val="2019"/>
</file>

<file path=xl/ctrlProps/ctrlProp6.xml><?xml version="1.0" encoding="utf-8"?>
<formControlPr xmlns="http://schemas.microsoft.com/office/spreadsheetml/2009/9/main" objectType="Spin" dx="16" fmlaLink="$D$3" max="52" page="10"/>
</file>

<file path=xl/ctrlProps/ctrlProp7.xml><?xml version="1.0" encoding="utf-8"?>
<formControlPr xmlns="http://schemas.microsoft.com/office/spreadsheetml/2009/9/main" objectType="Spin" dx="16" fmlaLink="$D$2" max="30000" page="10" val="49"/>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Spin" dx="16" fmlaLink="$D$2" max="30000" page="10" val="38"/>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16" fmlaLink="$D$2" max="30000" page="1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Drop" dropStyle="combo" dx="16" fmlaLink="$C$16" fmlaRange="RegionTotal!$D$6:$D$12" noThreeD="1" sel="1" val="0"/>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Spin" dx="16" fmlaLink="$D$2" max="30000" page="10" val="38"/>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Spin" dx="16" fmlaLink="#REF!" max="30000" page="10" val="34"/>
</file>

<file path=xl/ctrlProps/ctrlProp25.xml><?xml version="1.0" encoding="utf-8"?>
<formControlPr xmlns="http://schemas.microsoft.com/office/spreadsheetml/2009/9/main" objectType="Spin" dx="16" fmlaLink="$D$2" max="30000" page="10"/>
</file>

<file path=xl/ctrlProps/ctrlProp26.xml><?xml version="1.0" encoding="utf-8"?>
<formControlPr xmlns="http://schemas.microsoft.com/office/spreadsheetml/2009/9/main" objectType="Radio" firstButton="1" lockText="1" noThreeD="1"/>
</file>

<file path=xl/ctrlProps/ctrlProp27.xml><?xml version="1.0" encoding="utf-8"?>
<formControlPr xmlns="http://schemas.microsoft.com/office/spreadsheetml/2009/9/main" objectType="Radio" checked="Checked" lockText="1"/>
</file>

<file path=xl/ctrlProps/ctrlProp28.xml><?xml version="1.0" encoding="utf-8"?>
<formControlPr xmlns="http://schemas.microsoft.com/office/spreadsheetml/2009/9/main" objectType="Spin" dx="16" fmlaLink="#REF!" max="30000" page="10" val="34"/>
</file>

<file path=xl/ctrlProps/ctrlProp29.xml><?xml version="1.0" encoding="utf-8"?>
<formControlPr xmlns="http://schemas.microsoft.com/office/spreadsheetml/2009/9/main" objectType="Spin" dx="16" fmlaLink="$D$2" max="30000" page="10" val="38"/>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16" fmlaLink="#REF!" max="30000" page="10" val="34"/>
</file>

<file path=xl/ctrlProps/ctrlProp33.xml><?xml version="1.0" encoding="utf-8"?>
<formControlPr xmlns="http://schemas.microsoft.com/office/spreadsheetml/2009/9/main" objectType="Spin" dx="16" fmlaLink="$D$2" max="30000" page="10" val="6"/>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Radio" firstButton="1" lockText="1" noThreeD="1"/>
</file>

<file path=xl/ctrlProps/ctrlProp37.xml><?xml version="1.0" encoding="utf-8"?>
<formControlPr xmlns="http://schemas.microsoft.com/office/spreadsheetml/2009/9/main" objectType="Radio" checked="Checked" lockText="1"/>
</file>

<file path=xl/ctrlProps/ctrlProp38.xml><?xml version="1.0" encoding="utf-8"?>
<formControlPr xmlns="http://schemas.microsoft.com/office/spreadsheetml/2009/9/main" objectType="Spin" dx="16" fmlaLink="#REF!" max="30000" page="10" val="34"/>
</file>

<file path=xl/ctrlProps/ctrlProp39.xml><?xml version="1.0" encoding="utf-8"?>
<formControlPr xmlns="http://schemas.microsoft.com/office/spreadsheetml/2009/9/main" objectType="Spin" dx="16" fmlaLink="$D$2" max="30000" page="10" val="38"/>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Spin" dx="16" fmlaLink="$D$2" max="30000" page="10" val="34"/>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28.gif"/><Relationship Id="rId3" Type="http://schemas.openxmlformats.org/officeDocument/2006/relationships/chart" Target="../charts/chart4.xml"/><Relationship Id="rId7" Type="http://schemas.openxmlformats.org/officeDocument/2006/relationships/image" Target="../media/image27.gif"/><Relationship Id="rId12" Type="http://schemas.openxmlformats.org/officeDocument/2006/relationships/image" Target="../media/image32.gif"/><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6.gif"/><Relationship Id="rId11" Type="http://schemas.openxmlformats.org/officeDocument/2006/relationships/image" Target="../media/image31.gif"/><Relationship Id="rId5" Type="http://schemas.openxmlformats.org/officeDocument/2006/relationships/image" Target="../media/image25.gif"/><Relationship Id="rId10" Type="http://schemas.openxmlformats.org/officeDocument/2006/relationships/image" Target="../media/image30.gif"/><Relationship Id="rId4" Type="http://schemas.openxmlformats.org/officeDocument/2006/relationships/chart" Target="../charts/chart5.xml"/><Relationship Id="rId9" Type="http://schemas.openxmlformats.org/officeDocument/2006/relationships/image" Target="../media/image29.gif"/></Relationships>
</file>

<file path=xl/drawings/_rels/drawing3.xml.rels><?xml version="1.0" encoding="UTF-8" standalone="yes"?>
<Relationships xmlns="http://schemas.openxmlformats.org/package/2006/relationships"><Relationship Id="rId3" Type="http://schemas.openxmlformats.org/officeDocument/2006/relationships/image" Target="../media/image31.gif"/><Relationship Id="rId2" Type="http://schemas.openxmlformats.org/officeDocument/2006/relationships/image" Target="../media/image34.gif"/><Relationship Id="rId1" Type="http://schemas.openxmlformats.org/officeDocument/2006/relationships/image" Target="../media/image33.gif"/><Relationship Id="rId4" Type="http://schemas.openxmlformats.org/officeDocument/2006/relationships/image" Target="../media/image35.gif"/></Relationships>
</file>

<file path=xl/drawings/_rels/drawing4.xml.rels><?xml version="1.0" encoding="UTF-8" standalone="yes"?>
<Relationships xmlns="http://schemas.openxmlformats.org/package/2006/relationships"><Relationship Id="rId3" Type="http://schemas.openxmlformats.org/officeDocument/2006/relationships/image" Target="../media/image37.gif"/><Relationship Id="rId2" Type="http://schemas.openxmlformats.org/officeDocument/2006/relationships/image" Target="../media/image36.gif"/><Relationship Id="rId1" Type="http://schemas.openxmlformats.org/officeDocument/2006/relationships/image" Target="../media/image31.gif"/><Relationship Id="rId5" Type="http://schemas.openxmlformats.org/officeDocument/2006/relationships/image" Target="../media/image35.gif"/><Relationship Id="rId4" Type="http://schemas.openxmlformats.org/officeDocument/2006/relationships/image" Target="../media/image30.gif"/></Relationships>
</file>

<file path=xl/drawings/_rels/drawing5.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image" Target="../media/image31.gif"/><Relationship Id="rId7" Type="http://schemas.openxmlformats.org/officeDocument/2006/relationships/chart" Target="../charts/chart9.xml"/><Relationship Id="rId2" Type="http://schemas.openxmlformats.org/officeDocument/2006/relationships/image" Target="../media/image34.gif"/><Relationship Id="rId1" Type="http://schemas.openxmlformats.org/officeDocument/2006/relationships/chart" Target="../charts/chart6.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image" Target="../media/image36.gif"/></Relationships>
</file>

<file path=xl/drawings/_rels/drawing6.xml.rels><?xml version="1.0" encoding="UTF-8" standalone="yes"?>
<Relationships xmlns="http://schemas.openxmlformats.org/package/2006/relationships"><Relationship Id="rId3" Type="http://schemas.openxmlformats.org/officeDocument/2006/relationships/image" Target="../media/image36.gif"/><Relationship Id="rId2" Type="http://schemas.openxmlformats.org/officeDocument/2006/relationships/image" Target="../media/image31.gif"/><Relationship Id="rId1" Type="http://schemas.openxmlformats.org/officeDocument/2006/relationships/image" Target="../media/image34.gif"/><Relationship Id="rId4"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36.gif"/><Relationship Id="rId1" Type="http://schemas.openxmlformats.org/officeDocument/2006/relationships/image" Target="../media/image31.gif"/><Relationship Id="rId4" Type="http://schemas.openxmlformats.org/officeDocument/2006/relationships/image" Target="../media/image38.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5.xml"/><Relationship Id="rId7" Type="http://schemas.openxmlformats.org/officeDocument/2006/relationships/chart" Target="../charts/chart18.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7.xml"/><Relationship Id="rId5" Type="http://schemas.openxmlformats.org/officeDocument/2006/relationships/image" Target="../media/image31.gif"/><Relationship Id="rId4"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1.gif"/><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3.xml"/><Relationship Id="rId5" Type="http://schemas.openxmlformats.org/officeDocument/2006/relationships/image" Target="../media/image39.gif"/><Relationship Id="rId4" Type="http://schemas.openxmlformats.org/officeDocument/2006/relationships/image" Target="../media/image36.gif"/></Relationships>
</file>

<file path=xl/drawings/_rels/drawing11.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5" Type="http://schemas.openxmlformats.org/officeDocument/2006/relationships/image" Target="../media/image36.gif"/><Relationship Id="rId4" Type="http://schemas.openxmlformats.org/officeDocument/2006/relationships/image" Target="../media/image31.gif"/></Relationships>
</file>

<file path=xl/drawings/_rels/drawing12.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6.gif"/><Relationship Id="rId2" Type="http://schemas.openxmlformats.org/officeDocument/2006/relationships/image" Target="../media/image34.gif"/><Relationship Id="rId1" Type="http://schemas.openxmlformats.org/officeDocument/2006/relationships/image" Target="../media/image40.jpeg"/><Relationship Id="rId5" Type="http://schemas.openxmlformats.org/officeDocument/2006/relationships/image" Target="../media/image31.gif"/><Relationship Id="rId4" Type="http://schemas.openxmlformats.org/officeDocument/2006/relationships/image" Target="../media/image30.gif"/></Relationships>
</file>

<file path=xl/drawings/_rels/drawing16.xml.rels><?xml version="1.0" encoding="UTF-8" standalone="yes"?>
<Relationships xmlns="http://schemas.openxmlformats.org/package/2006/relationships"><Relationship Id="rId2" Type="http://schemas.openxmlformats.org/officeDocument/2006/relationships/image" Target="../media/image36.gif"/><Relationship Id="rId1" Type="http://schemas.openxmlformats.org/officeDocument/2006/relationships/image" Target="../media/image31.gif"/></Relationships>
</file>

<file path=xl/drawings/_rels/drawing21.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9.emf"/><Relationship Id="rId21" Type="http://schemas.openxmlformats.org/officeDocument/2006/relationships/image" Target="../media/image4.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10.emf"/><Relationship Id="rId16" Type="http://schemas.openxmlformats.org/officeDocument/2006/relationships/image" Target="../media/image21.emf"/><Relationship Id="rId20" Type="http://schemas.openxmlformats.org/officeDocument/2006/relationships/image" Target="../media/image5.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16.emf"/><Relationship Id="rId24" Type="http://schemas.openxmlformats.org/officeDocument/2006/relationships/image" Target="../media/image1.emf"/><Relationship Id="rId5" Type="http://schemas.openxmlformats.org/officeDocument/2006/relationships/image" Target="../media/image7.emf"/><Relationship Id="rId15" Type="http://schemas.openxmlformats.org/officeDocument/2006/relationships/image" Target="../media/image20.emf"/><Relationship Id="rId23" Type="http://schemas.openxmlformats.org/officeDocument/2006/relationships/image" Target="../media/image3.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8.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5</xdr:col>
      <xdr:colOff>133350</xdr:colOff>
      <xdr:row>5</xdr:row>
      <xdr:rowOff>28574</xdr:rowOff>
    </xdr:from>
    <xdr:to>
      <xdr:col>13</xdr:col>
      <xdr:colOff>448950</xdr:colOff>
      <xdr:row>12</xdr:row>
      <xdr:rowOff>188024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133350</xdr:colOff>
      <xdr:row>22</xdr:row>
      <xdr:rowOff>66674</xdr:rowOff>
    </xdr:from>
    <xdr:to>
      <xdr:col>13</xdr:col>
      <xdr:colOff>448950</xdr:colOff>
      <xdr:row>30</xdr:row>
      <xdr:rowOff>35624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142875</xdr:colOff>
      <xdr:row>13</xdr:row>
      <xdr:rowOff>142875</xdr:rowOff>
    </xdr:from>
    <xdr:to>
      <xdr:col>13</xdr:col>
      <xdr:colOff>458475</xdr:colOff>
      <xdr:row>21</xdr:row>
      <xdr:rowOff>111825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123823</xdr:colOff>
      <xdr:row>31</xdr:row>
      <xdr:rowOff>9524</xdr:rowOff>
    </xdr:from>
    <xdr:to>
      <xdr:col>13</xdr:col>
      <xdr:colOff>439423</xdr:colOff>
      <xdr:row>38</xdr:row>
      <xdr:rowOff>188024</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552450</xdr:colOff>
      <xdr:row>5</xdr:row>
      <xdr:rowOff>28575</xdr:rowOff>
    </xdr:from>
    <xdr:to>
      <xdr:col>16</xdr:col>
      <xdr:colOff>670152</xdr:colOff>
      <xdr:row>12</xdr:row>
      <xdr:rowOff>142875</xdr:rowOff>
    </xdr:to>
    <xdr:pic macro="[0]!GoToMyOms">
      <xdr:nvPicPr>
        <xdr:cNvPr id="7" name="Picture 6" descr="Omsetning.gif"/>
        <xdr:cNvPicPr>
          <a:picLocks noChangeAspect="1"/>
        </xdr:cNvPicPr>
      </xdr:nvPicPr>
      <xdr:blipFill>
        <a:blip xmlns:r="http://schemas.openxmlformats.org/officeDocument/2006/relationships" r:embed="rId5" cstate="print"/>
        <a:srcRect l="37891" t="38770" r="31328" b="39355"/>
        <a:stretch>
          <a:fillRect/>
        </a:stretch>
      </xdr:blipFill>
      <xdr:spPr>
        <a:xfrm>
          <a:off x="7896225" y="962025"/>
          <a:ext cx="2546577" cy="1447800"/>
        </a:xfrm>
        <a:prstGeom prst="rect">
          <a:avLst/>
        </a:prstGeom>
      </xdr:spPr>
    </xdr:pic>
    <xdr:clientData/>
  </xdr:twoCellAnchor>
  <xdr:twoCellAnchor editAs="oneCell">
    <xdr:from>
      <xdr:col>13</xdr:col>
      <xdr:colOff>561975</xdr:colOff>
      <xdr:row>30</xdr:row>
      <xdr:rowOff>152400</xdr:rowOff>
    </xdr:from>
    <xdr:to>
      <xdr:col>17</xdr:col>
      <xdr:colOff>9525</xdr:colOff>
      <xdr:row>38</xdr:row>
      <xdr:rowOff>111029</xdr:rowOff>
    </xdr:to>
    <xdr:pic>
      <xdr:nvPicPr>
        <xdr:cNvPr id="8" name="Picture 7" descr="Fortjeneste.gif"/>
        <xdr:cNvPicPr>
          <a:picLocks noChangeAspect="1"/>
        </xdr:cNvPicPr>
      </xdr:nvPicPr>
      <xdr:blipFill>
        <a:blip xmlns:r="http://schemas.openxmlformats.org/officeDocument/2006/relationships" r:embed="rId6" cstate="print"/>
        <a:srcRect l="37891" t="38477" r="31172" b="39063"/>
        <a:stretch>
          <a:fillRect/>
        </a:stretch>
      </xdr:blipFill>
      <xdr:spPr>
        <a:xfrm>
          <a:off x="7905750" y="5905500"/>
          <a:ext cx="2552700" cy="1482629"/>
        </a:xfrm>
        <a:prstGeom prst="rect">
          <a:avLst/>
        </a:prstGeom>
      </xdr:spPr>
    </xdr:pic>
    <xdr:clientData/>
  </xdr:twoCellAnchor>
  <xdr:twoCellAnchor editAs="oneCell">
    <xdr:from>
      <xdr:col>13</xdr:col>
      <xdr:colOff>552450</xdr:colOff>
      <xdr:row>22</xdr:row>
      <xdr:rowOff>57151</xdr:rowOff>
    </xdr:from>
    <xdr:to>
      <xdr:col>17</xdr:col>
      <xdr:colOff>9525</xdr:colOff>
      <xdr:row>30</xdr:row>
      <xdr:rowOff>5727</xdr:rowOff>
    </xdr:to>
    <xdr:pic>
      <xdr:nvPicPr>
        <xdr:cNvPr id="9" name="Picture 8" descr="Lønn.gif"/>
        <xdr:cNvPicPr>
          <a:picLocks noChangeAspect="1"/>
        </xdr:cNvPicPr>
      </xdr:nvPicPr>
      <xdr:blipFill>
        <a:blip xmlns:r="http://schemas.openxmlformats.org/officeDocument/2006/relationships" r:embed="rId7" cstate="print"/>
        <a:srcRect l="37754" t="38696" r="31152" b="39136"/>
        <a:stretch>
          <a:fillRect/>
        </a:stretch>
      </xdr:blipFill>
      <xdr:spPr>
        <a:xfrm>
          <a:off x="7896225" y="4267201"/>
          <a:ext cx="2562225" cy="1461370"/>
        </a:xfrm>
        <a:prstGeom prst="rect">
          <a:avLst/>
        </a:prstGeom>
      </xdr:spPr>
    </xdr:pic>
    <xdr:clientData/>
  </xdr:twoCellAnchor>
  <xdr:twoCellAnchor editAs="oneCell">
    <xdr:from>
      <xdr:col>13</xdr:col>
      <xdr:colOff>552450</xdr:colOff>
      <xdr:row>13</xdr:row>
      <xdr:rowOff>142875</xdr:rowOff>
    </xdr:from>
    <xdr:to>
      <xdr:col>17</xdr:col>
      <xdr:colOff>26636</xdr:colOff>
      <xdr:row>21</xdr:row>
      <xdr:rowOff>76200</xdr:rowOff>
    </xdr:to>
    <xdr:pic>
      <xdr:nvPicPr>
        <xdr:cNvPr id="10" name="Picture 9" descr="Svinn.gif"/>
        <xdr:cNvPicPr>
          <a:picLocks noChangeAspect="1"/>
        </xdr:cNvPicPr>
      </xdr:nvPicPr>
      <xdr:blipFill>
        <a:blip xmlns:r="http://schemas.openxmlformats.org/officeDocument/2006/relationships" r:embed="rId8" cstate="print"/>
        <a:srcRect l="37851" t="38623" r="30899" b="39306"/>
        <a:stretch>
          <a:fillRect/>
        </a:stretch>
      </xdr:blipFill>
      <xdr:spPr>
        <a:xfrm>
          <a:off x="7896225" y="2619375"/>
          <a:ext cx="2579336" cy="1457325"/>
        </a:xfrm>
        <a:prstGeom prst="rect">
          <a:avLst/>
        </a:prstGeom>
      </xdr:spPr>
    </xdr:pic>
    <xdr:clientData/>
  </xdr:twoCellAnchor>
  <xdr:twoCellAnchor>
    <xdr:from>
      <xdr:col>0</xdr:col>
      <xdr:colOff>19050</xdr:colOff>
      <xdr:row>4</xdr:row>
      <xdr:rowOff>180976</xdr:rowOff>
    </xdr:from>
    <xdr:to>
      <xdr:col>5</xdr:col>
      <xdr:colOff>76200</xdr:colOff>
      <xdr:row>39</xdr:row>
      <xdr:rowOff>19050</xdr:rowOff>
    </xdr:to>
    <xdr:grpSp>
      <xdr:nvGrpSpPr>
        <xdr:cNvPr id="18" name="Group 17"/>
        <xdr:cNvGrpSpPr/>
      </xdr:nvGrpSpPr>
      <xdr:grpSpPr>
        <a:xfrm>
          <a:off x="19050" y="914401"/>
          <a:ext cx="2676525" cy="6524624"/>
          <a:chOff x="19050" y="914401"/>
          <a:chExt cx="2676525" cy="6581774"/>
        </a:xfrm>
      </xdr:grpSpPr>
      <xdr:pic>
        <xdr:nvPicPr>
          <xdr:cNvPr id="6" name="Picture 5" descr="ACTLOG Ramme.gif"/>
          <xdr:cNvPicPr>
            <a:picLocks noChangeAspect="1"/>
          </xdr:cNvPicPr>
        </xdr:nvPicPr>
        <xdr:blipFill>
          <a:blip xmlns:r="http://schemas.openxmlformats.org/officeDocument/2006/relationships" r:embed="rId9" cstate="print"/>
          <a:srcRect l="33438" t="6934" r="35859" b="85809"/>
          <a:stretch>
            <a:fillRect/>
          </a:stretch>
        </xdr:blipFill>
        <xdr:spPr>
          <a:xfrm>
            <a:off x="19050" y="914401"/>
            <a:ext cx="2657475" cy="533399"/>
          </a:xfrm>
          <a:prstGeom prst="rect">
            <a:avLst/>
          </a:prstGeom>
        </xdr:spPr>
      </xdr:pic>
      <xdr:pic>
        <xdr:nvPicPr>
          <xdr:cNvPr id="12" name="Picture 11" descr="ACTLOG Ramme.gif"/>
          <xdr:cNvPicPr>
            <a:picLocks/>
          </xdr:cNvPicPr>
        </xdr:nvPicPr>
        <xdr:blipFill>
          <a:blip xmlns:r="http://schemas.openxmlformats.org/officeDocument/2006/relationships" r:embed="rId9" cstate="print"/>
          <a:srcRect l="33438" t="14191" r="65021" b="6630"/>
          <a:stretch>
            <a:fillRect/>
          </a:stretch>
        </xdr:blipFill>
        <xdr:spPr>
          <a:xfrm>
            <a:off x="19050" y="1447799"/>
            <a:ext cx="133350" cy="5940000"/>
          </a:xfrm>
          <a:prstGeom prst="rect">
            <a:avLst/>
          </a:prstGeom>
        </xdr:spPr>
      </xdr:pic>
      <xdr:pic>
        <xdr:nvPicPr>
          <xdr:cNvPr id="13" name="Picture 12" descr="ACTLOG Ramme.gif"/>
          <xdr:cNvPicPr>
            <a:picLocks/>
          </xdr:cNvPicPr>
        </xdr:nvPicPr>
        <xdr:blipFill>
          <a:blip xmlns:r="http://schemas.openxmlformats.org/officeDocument/2006/relationships" r:embed="rId9" cstate="print"/>
          <a:srcRect l="62165" t="14191" r="35634" b="6241"/>
          <a:stretch>
            <a:fillRect/>
          </a:stretch>
        </xdr:blipFill>
        <xdr:spPr>
          <a:xfrm>
            <a:off x="2505075" y="1447800"/>
            <a:ext cx="190500" cy="5981700"/>
          </a:xfrm>
          <a:prstGeom prst="rect">
            <a:avLst/>
          </a:prstGeom>
        </xdr:spPr>
      </xdr:pic>
      <xdr:pic>
        <xdr:nvPicPr>
          <xdr:cNvPr id="14" name="Picture 13" descr="ACTLOG Ramme.gif"/>
          <xdr:cNvPicPr>
            <a:picLocks noChangeAspect="1"/>
          </xdr:cNvPicPr>
        </xdr:nvPicPr>
        <xdr:blipFill>
          <a:blip xmlns:r="http://schemas.openxmlformats.org/officeDocument/2006/relationships" r:embed="rId9" cstate="print"/>
          <a:srcRect l="33438" t="94148" r="35859" b="3390"/>
          <a:stretch>
            <a:fillRect/>
          </a:stretch>
        </xdr:blipFill>
        <xdr:spPr>
          <a:xfrm>
            <a:off x="19050" y="7315200"/>
            <a:ext cx="2657475" cy="180975"/>
          </a:xfrm>
          <a:prstGeom prst="rect">
            <a:avLst/>
          </a:prstGeom>
        </xdr:spPr>
      </xdr:pic>
    </xdr:grpSp>
    <xdr:clientData/>
  </xdr:twoCellAnchor>
  <xdr:twoCellAnchor editAs="absolute">
    <xdr:from>
      <xdr:col>4</xdr:col>
      <xdr:colOff>476250</xdr:colOff>
      <xdr:row>5</xdr:row>
      <xdr:rowOff>54062</xdr:rowOff>
    </xdr:from>
    <xdr:to>
      <xdr:col>4</xdr:col>
      <xdr:colOff>834283</xdr:colOff>
      <xdr:row>7</xdr:row>
      <xdr:rowOff>33062</xdr:rowOff>
    </xdr:to>
    <xdr:pic macro="[0]!GoToActions">
      <xdr:nvPicPr>
        <xdr:cNvPr id="16" name="Picture 15" descr="Register.gif"/>
        <xdr:cNvPicPr>
          <a:picLocks noChangeAspect="1"/>
        </xdr:cNvPicPr>
      </xdr:nvPicPr>
      <xdr:blipFill>
        <a:blip xmlns:r="http://schemas.openxmlformats.org/officeDocument/2006/relationships" r:embed="rId10" cstate="print"/>
        <a:srcRect l="28672" t="22363" r="28672" b="24023"/>
        <a:stretch>
          <a:fillRect/>
        </a:stretch>
      </xdr:blipFill>
      <xdr:spPr>
        <a:xfrm>
          <a:off x="2162175" y="987512"/>
          <a:ext cx="358033" cy="360000"/>
        </a:xfrm>
        <a:prstGeom prst="rect">
          <a:avLst/>
        </a:prstGeom>
      </xdr:spPr>
    </xdr:pic>
    <xdr:clientData/>
  </xdr:twoCellAnchor>
  <xdr:twoCellAnchor editAs="oneCell">
    <xdr:from>
      <xdr:col>16</xdr:col>
      <xdr:colOff>295275</xdr:colOff>
      <xdr:row>2</xdr:row>
      <xdr:rowOff>161925</xdr:rowOff>
    </xdr:from>
    <xdr:to>
      <xdr:col>16</xdr:col>
      <xdr:colOff>656596</xdr:colOff>
      <xdr:row>4</xdr:row>
      <xdr:rowOff>150450</xdr:rowOff>
    </xdr:to>
    <xdr:pic macro="[0]!GetMyActions">
      <xdr:nvPicPr>
        <xdr:cNvPr id="17" name="Picture 16" descr="Refresh.gif"/>
        <xdr:cNvPicPr>
          <a:picLocks noChangeAspect="1"/>
        </xdr:cNvPicPr>
      </xdr:nvPicPr>
      <xdr:blipFill>
        <a:blip xmlns:r="http://schemas.openxmlformats.org/officeDocument/2006/relationships" r:embed="rId11" cstate="print"/>
        <a:srcRect l="28672" t="22559" r="28594" b="24219"/>
        <a:stretch>
          <a:fillRect/>
        </a:stretch>
      </xdr:blipFill>
      <xdr:spPr>
        <a:xfrm>
          <a:off x="9896475" y="523875"/>
          <a:ext cx="361321" cy="360000"/>
        </a:xfrm>
        <a:prstGeom prst="rect">
          <a:avLst/>
        </a:prstGeom>
      </xdr:spPr>
    </xdr:pic>
    <xdr:clientData/>
  </xdr:twoCellAnchor>
  <xdr:twoCellAnchor editAs="oneCell">
    <xdr:from>
      <xdr:col>0</xdr:col>
      <xdr:colOff>47626</xdr:colOff>
      <xdr:row>2</xdr:row>
      <xdr:rowOff>171450</xdr:rowOff>
    </xdr:from>
    <xdr:to>
      <xdr:col>1</xdr:col>
      <xdr:colOff>293326</xdr:colOff>
      <xdr:row>4</xdr:row>
      <xdr:rowOff>159315</xdr:rowOff>
    </xdr:to>
    <xdr:pic macro="[0]!gototel">
      <xdr:nvPicPr>
        <xdr:cNvPr id="19" name="Picture 18" descr="Telefonm_te.gif"/>
        <xdr:cNvPicPr>
          <a:picLocks noChangeAspect="1"/>
        </xdr:cNvPicPr>
      </xdr:nvPicPr>
      <xdr:blipFill>
        <a:blip xmlns:r="http://schemas.openxmlformats.org/officeDocument/2006/relationships" r:embed="rId12" cstate="print"/>
        <a:srcRect l="28516" t="22656" r="28828" b="24121"/>
        <a:stretch>
          <a:fillRect/>
        </a:stretch>
      </xdr:blipFill>
      <xdr:spPr>
        <a:xfrm>
          <a:off x="47626" y="533400"/>
          <a:ext cx="360000" cy="3593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714375</xdr:colOff>
          <xdr:row>6</xdr:row>
          <xdr:rowOff>133350</xdr:rowOff>
        </xdr:from>
        <xdr:to>
          <xdr:col>16</xdr:col>
          <xdr:colOff>809625</xdr:colOff>
          <xdr:row>8</xdr:row>
          <xdr:rowOff>38100</xdr:rowOff>
        </xdr:to>
        <xdr:sp macro="" textlink="">
          <xdr:nvSpPr>
            <xdr:cNvPr id="51257" name="valSales" hidden="1">
              <a:extLst>
                <a:ext uri="{63B3BB69-23CF-44E3-9099-C40C66FF867C}">
                  <a14:compatExt spid="_x0000_s51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533400</xdr:colOff>
          <xdr:row>10</xdr:row>
          <xdr:rowOff>9525</xdr:rowOff>
        </xdr:from>
        <xdr:to>
          <xdr:col>15</xdr:col>
          <xdr:colOff>847725</xdr:colOff>
          <xdr:row>10</xdr:row>
          <xdr:rowOff>180975</xdr:rowOff>
        </xdr:to>
        <xdr:sp macro="" textlink="">
          <xdr:nvSpPr>
            <xdr:cNvPr id="51258" name="valSalesBud" hidden="1">
              <a:extLst>
                <a:ext uri="{63B3BB69-23CF-44E3-9099-C40C66FF867C}">
                  <a14:compatExt spid="_x0000_s51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10</xdr:row>
          <xdr:rowOff>9525</xdr:rowOff>
        </xdr:from>
        <xdr:to>
          <xdr:col>16</xdr:col>
          <xdr:colOff>609600</xdr:colOff>
          <xdr:row>10</xdr:row>
          <xdr:rowOff>180975</xdr:rowOff>
        </xdr:to>
        <xdr:sp macro="" textlink="">
          <xdr:nvSpPr>
            <xdr:cNvPr id="51261" name="valSalesLY" hidden="1">
              <a:extLst>
                <a:ext uri="{63B3BB69-23CF-44E3-9099-C40C66FF867C}">
                  <a14:compatExt spid="_x0000_s512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533400</xdr:colOff>
          <xdr:row>11</xdr:row>
          <xdr:rowOff>9525</xdr:rowOff>
        </xdr:from>
        <xdr:to>
          <xdr:col>15</xdr:col>
          <xdr:colOff>847725</xdr:colOff>
          <xdr:row>11</xdr:row>
          <xdr:rowOff>180975</xdr:rowOff>
        </xdr:to>
        <xdr:sp macro="" textlink="">
          <xdr:nvSpPr>
            <xdr:cNvPr id="51262" name="valSalesDiffBud" hidden="1">
              <a:extLst>
                <a:ext uri="{63B3BB69-23CF-44E3-9099-C40C66FF867C}">
                  <a14:compatExt spid="_x0000_s512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11</xdr:row>
          <xdr:rowOff>9525</xdr:rowOff>
        </xdr:from>
        <xdr:to>
          <xdr:col>16</xdr:col>
          <xdr:colOff>609600</xdr:colOff>
          <xdr:row>11</xdr:row>
          <xdr:rowOff>180975</xdr:rowOff>
        </xdr:to>
        <xdr:sp macro="" textlink="">
          <xdr:nvSpPr>
            <xdr:cNvPr id="51263" name="valSalesDiffLY" hidden="1">
              <a:extLst>
                <a:ext uri="{63B3BB69-23CF-44E3-9099-C40C66FF867C}">
                  <a14:compatExt spid="_x0000_s51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371475</xdr:colOff>
          <xdr:row>10</xdr:row>
          <xdr:rowOff>19050</xdr:rowOff>
        </xdr:from>
        <xdr:to>
          <xdr:col>15</xdr:col>
          <xdr:colOff>85725</xdr:colOff>
          <xdr:row>10</xdr:row>
          <xdr:rowOff>180975</xdr:rowOff>
        </xdr:to>
        <xdr:sp macro="" textlink="">
          <xdr:nvSpPr>
            <xdr:cNvPr id="51264" name="Label1" hidden="1">
              <a:extLst>
                <a:ext uri="{63B3BB69-23CF-44E3-9099-C40C66FF867C}">
                  <a14:compatExt spid="_x0000_s512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714375</xdr:colOff>
          <xdr:row>15</xdr:row>
          <xdr:rowOff>66675</xdr:rowOff>
        </xdr:from>
        <xdr:to>
          <xdr:col>16</xdr:col>
          <xdr:colOff>838200</xdr:colOff>
          <xdr:row>17</xdr:row>
          <xdr:rowOff>0</xdr:rowOff>
        </xdr:to>
        <xdr:sp macro="" textlink="">
          <xdr:nvSpPr>
            <xdr:cNvPr id="51319" name="valSvinn" hidden="1">
              <a:extLst>
                <a:ext uri="{63B3BB69-23CF-44E3-9099-C40C66FF867C}">
                  <a14:compatExt spid="_x0000_s513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18</xdr:row>
          <xdr:rowOff>171450</xdr:rowOff>
        </xdr:from>
        <xdr:to>
          <xdr:col>15</xdr:col>
          <xdr:colOff>781050</xdr:colOff>
          <xdr:row>19</xdr:row>
          <xdr:rowOff>152400</xdr:rowOff>
        </xdr:to>
        <xdr:sp macro="" textlink="">
          <xdr:nvSpPr>
            <xdr:cNvPr id="51320" name="valSvinnBud" hidden="1">
              <a:extLst>
                <a:ext uri="{63B3BB69-23CF-44E3-9099-C40C66FF867C}">
                  <a14:compatExt spid="_x0000_s5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18</xdr:row>
          <xdr:rowOff>171450</xdr:rowOff>
        </xdr:from>
        <xdr:to>
          <xdr:col>16</xdr:col>
          <xdr:colOff>609600</xdr:colOff>
          <xdr:row>19</xdr:row>
          <xdr:rowOff>152400</xdr:rowOff>
        </xdr:to>
        <xdr:sp macro="" textlink="">
          <xdr:nvSpPr>
            <xdr:cNvPr id="51321" name="valSvinnLY" hidden="1">
              <a:extLst>
                <a:ext uri="{63B3BB69-23CF-44E3-9099-C40C66FF867C}">
                  <a14:compatExt spid="_x0000_s5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19</xdr:row>
          <xdr:rowOff>171450</xdr:rowOff>
        </xdr:from>
        <xdr:to>
          <xdr:col>15</xdr:col>
          <xdr:colOff>781050</xdr:colOff>
          <xdr:row>20</xdr:row>
          <xdr:rowOff>152400</xdr:rowOff>
        </xdr:to>
        <xdr:sp macro="" textlink="">
          <xdr:nvSpPr>
            <xdr:cNvPr id="51322" name="valSvinnDiffBud" hidden="1">
              <a:extLst>
                <a:ext uri="{63B3BB69-23CF-44E3-9099-C40C66FF867C}">
                  <a14:compatExt spid="_x0000_s51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19</xdr:row>
          <xdr:rowOff>171450</xdr:rowOff>
        </xdr:from>
        <xdr:to>
          <xdr:col>16</xdr:col>
          <xdr:colOff>609600</xdr:colOff>
          <xdr:row>20</xdr:row>
          <xdr:rowOff>152400</xdr:rowOff>
        </xdr:to>
        <xdr:sp macro="" textlink="">
          <xdr:nvSpPr>
            <xdr:cNvPr id="51323" name="valSvinnDiffLY" hidden="1">
              <a:extLst>
                <a:ext uri="{63B3BB69-23CF-44E3-9099-C40C66FF867C}">
                  <a14:compatExt spid="_x0000_s513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742950</xdr:colOff>
          <xdr:row>23</xdr:row>
          <xdr:rowOff>200025</xdr:rowOff>
        </xdr:from>
        <xdr:to>
          <xdr:col>16</xdr:col>
          <xdr:colOff>847725</xdr:colOff>
          <xdr:row>25</xdr:row>
          <xdr:rowOff>114300</xdr:rowOff>
        </xdr:to>
        <xdr:sp macro="" textlink="">
          <xdr:nvSpPr>
            <xdr:cNvPr id="51325" name="valLønn" hidden="1">
              <a:extLst>
                <a:ext uri="{63B3BB69-23CF-44E3-9099-C40C66FF867C}">
                  <a14:compatExt spid="_x0000_s513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495300</xdr:colOff>
          <xdr:row>27</xdr:row>
          <xdr:rowOff>114300</xdr:rowOff>
        </xdr:from>
        <xdr:to>
          <xdr:col>15</xdr:col>
          <xdr:colOff>809625</xdr:colOff>
          <xdr:row>28</xdr:row>
          <xdr:rowOff>95250</xdr:rowOff>
        </xdr:to>
        <xdr:sp macro="" textlink="">
          <xdr:nvSpPr>
            <xdr:cNvPr id="51326" name="valLønnBud" hidden="1">
              <a:extLst>
                <a:ext uri="{63B3BB69-23CF-44E3-9099-C40C66FF867C}">
                  <a14:compatExt spid="_x0000_s513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27</xdr:row>
          <xdr:rowOff>114300</xdr:rowOff>
        </xdr:from>
        <xdr:to>
          <xdr:col>16</xdr:col>
          <xdr:colOff>609600</xdr:colOff>
          <xdr:row>28</xdr:row>
          <xdr:rowOff>95250</xdr:rowOff>
        </xdr:to>
        <xdr:sp macro="" textlink="">
          <xdr:nvSpPr>
            <xdr:cNvPr id="51327" name="valLønnLY" hidden="1">
              <a:extLst>
                <a:ext uri="{63B3BB69-23CF-44E3-9099-C40C66FF867C}">
                  <a14:compatExt spid="_x0000_s51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495300</xdr:colOff>
          <xdr:row>28</xdr:row>
          <xdr:rowOff>104775</xdr:rowOff>
        </xdr:from>
        <xdr:to>
          <xdr:col>15</xdr:col>
          <xdr:colOff>809625</xdr:colOff>
          <xdr:row>29</xdr:row>
          <xdr:rowOff>85725</xdr:rowOff>
        </xdr:to>
        <xdr:sp macro="" textlink="">
          <xdr:nvSpPr>
            <xdr:cNvPr id="51328" name="valLønnDiffBud" hidden="1">
              <a:extLst>
                <a:ext uri="{63B3BB69-23CF-44E3-9099-C40C66FF867C}">
                  <a14:compatExt spid="_x0000_s5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28</xdr:row>
          <xdr:rowOff>104775</xdr:rowOff>
        </xdr:from>
        <xdr:to>
          <xdr:col>16</xdr:col>
          <xdr:colOff>609600</xdr:colOff>
          <xdr:row>29</xdr:row>
          <xdr:rowOff>85725</xdr:rowOff>
        </xdr:to>
        <xdr:sp macro="" textlink="">
          <xdr:nvSpPr>
            <xdr:cNvPr id="51329" name="valLønnDiffLY" hidden="1">
              <a:extLst>
                <a:ext uri="{63B3BB69-23CF-44E3-9099-C40C66FF867C}">
                  <a14:compatExt spid="_x0000_s513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32</xdr:row>
          <xdr:rowOff>85725</xdr:rowOff>
        </xdr:from>
        <xdr:to>
          <xdr:col>16</xdr:col>
          <xdr:colOff>819150</xdr:colOff>
          <xdr:row>34</xdr:row>
          <xdr:rowOff>0</xdr:rowOff>
        </xdr:to>
        <xdr:sp macro="" textlink="">
          <xdr:nvSpPr>
            <xdr:cNvPr id="51331" name="valBto" hidden="1">
              <a:extLst>
                <a:ext uri="{63B3BB69-23CF-44E3-9099-C40C66FF867C}">
                  <a14:compatExt spid="_x0000_s513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36</xdr:row>
          <xdr:rowOff>9525</xdr:rowOff>
        </xdr:from>
        <xdr:to>
          <xdr:col>16</xdr:col>
          <xdr:colOff>609600</xdr:colOff>
          <xdr:row>36</xdr:row>
          <xdr:rowOff>180975</xdr:rowOff>
        </xdr:to>
        <xdr:sp macro="" textlink="">
          <xdr:nvSpPr>
            <xdr:cNvPr id="51333" name="valBtoLY" hidden="1">
              <a:extLst>
                <a:ext uri="{63B3BB69-23CF-44E3-9099-C40C66FF867C}">
                  <a14:compatExt spid="_x0000_s513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933450</xdr:colOff>
          <xdr:row>37</xdr:row>
          <xdr:rowOff>9525</xdr:rowOff>
        </xdr:from>
        <xdr:to>
          <xdr:col>16</xdr:col>
          <xdr:colOff>609600</xdr:colOff>
          <xdr:row>37</xdr:row>
          <xdr:rowOff>180975</xdr:rowOff>
        </xdr:to>
        <xdr:sp macro="" textlink="">
          <xdr:nvSpPr>
            <xdr:cNvPr id="51335" name="valBtoDiffLY" hidden="1">
              <a:extLst>
                <a:ext uri="{63B3BB69-23CF-44E3-9099-C40C66FF867C}">
                  <a14:compatExt spid="_x0000_s513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752475</xdr:colOff>
          <xdr:row>10</xdr:row>
          <xdr:rowOff>19050</xdr:rowOff>
        </xdr:from>
        <xdr:to>
          <xdr:col>15</xdr:col>
          <xdr:colOff>1066800</xdr:colOff>
          <xdr:row>10</xdr:row>
          <xdr:rowOff>180975</xdr:rowOff>
        </xdr:to>
        <xdr:sp macro="" textlink="">
          <xdr:nvSpPr>
            <xdr:cNvPr id="51339" name="Label5" hidden="1">
              <a:extLst>
                <a:ext uri="{63B3BB69-23CF-44E3-9099-C40C66FF867C}">
                  <a14:compatExt spid="_x0000_s51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371475</xdr:colOff>
          <xdr:row>18</xdr:row>
          <xdr:rowOff>171450</xdr:rowOff>
        </xdr:from>
        <xdr:to>
          <xdr:col>15</xdr:col>
          <xdr:colOff>85725</xdr:colOff>
          <xdr:row>19</xdr:row>
          <xdr:rowOff>142875</xdr:rowOff>
        </xdr:to>
        <xdr:sp macro="" textlink="">
          <xdr:nvSpPr>
            <xdr:cNvPr id="51340" name="Label6" hidden="1">
              <a:extLst>
                <a:ext uri="{63B3BB69-23CF-44E3-9099-C40C66FF867C}">
                  <a14:compatExt spid="_x0000_s513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752475</xdr:colOff>
          <xdr:row>18</xdr:row>
          <xdr:rowOff>171450</xdr:rowOff>
        </xdr:from>
        <xdr:to>
          <xdr:col>15</xdr:col>
          <xdr:colOff>1066800</xdr:colOff>
          <xdr:row>19</xdr:row>
          <xdr:rowOff>142875</xdr:rowOff>
        </xdr:to>
        <xdr:sp macro="" textlink="">
          <xdr:nvSpPr>
            <xdr:cNvPr id="51341" name="Label7" hidden="1">
              <a:extLst>
                <a:ext uri="{63B3BB69-23CF-44E3-9099-C40C66FF867C}">
                  <a14:compatExt spid="_x0000_s51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371475</xdr:colOff>
          <xdr:row>27</xdr:row>
          <xdr:rowOff>114300</xdr:rowOff>
        </xdr:from>
        <xdr:to>
          <xdr:col>15</xdr:col>
          <xdr:colOff>85725</xdr:colOff>
          <xdr:row>28</xdr:row>
          <xdr:rowOff>85725</xdr:rowOff>
        </xdr:to>
        <xdr:sp macro="" textlink="">
          <xdr:nvSpPr>
            <xdr:cNvPr id="51342" name="Label8" hidden="1">
              <a:extLst>
                <a:ext uri="{63B3BB69-23CF-44E3-9099-C40C66FF867C}">
                  <a14:compatExt spid="_x0000_s51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752475</xdr:colOff>
          <xdr:row>27</xdr:row>
          <xdr:rowOff>114300</xdr:rowOff>
        </xdr:from>
        <xdr:to>
          <xdr:col>15</xdr:col>
          <xdr:colOff>1066800</xdr:colOff>
          <xdr:row>28</xdr:row>
          <xdr:rowOff>85725</xdr:rowOff>
        </xdr:to>
        <xdr:sp macro="" textlink="">
          <xdr:nvSpPr>
            <xdr:cNvPr id="51343" name="Label9" hidden="1">
              <a:extLst>
                <a:ext uri="{63B3BB69-23CF-44E3-9099-C40C66FF867C}">
                  <a14:compatExt spid="_x0000_s5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752475</xdr:colOff>
          <xdr:row>36</xdr:row>
          <xdr:rowOff>38100</xdr:rowOff>
        </xdr:from>
        <xdr:to>
          <xdr:col>15</xdr:col>
          <xdr:colOff>1066800</xdr:colOff>
          <xdr:row>37</xdr:row>
          <xdr:rowOff>9525</xdr:rowOff>
        </xdr:to>
        <xdr:sp macro="" textlink="">
          <xdr:nvSpPr>
            <xdr:cNvPr id="51344" name="Label10" hidden="1">
              <a:extLst>
                <a:ext uri="{63B3BB69-23CF-44E3-9099-C40C66FF867C}">
                  <a14:compatExt spid="_x0000_s51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14</xdr:col>
      <xdr:colOff>371476</xdr:colOff>
      <xdr:row>0</xdr:row>
      <xdr:rowOff>38100</xdr:rowOff>
    </xdr:from>
    <xdr:to>
      <xdr:col>15</xdr:col>
      <xdr:colOff>141587</xdr:colOff>
      <xdr:row>2</xdr:row>
      <xdr:rowOff>36150</xdr:rowOff>
    </xdr:to>
    <xdr:pic macro="[0]!gotohome">
      <xdr:nvPicPr>
        <xdr:cNvPr id="2" name="Picture 1" descr="Home.gif"/>
        <xdr:cNvPicPr>
          <a:picLocks noChangeAspect="1"/>
        </xdr:cNvPicPr>
      </xdr:nvPicPr>
      <xdr:blipFill>
        <a:blip xmlns:r="http://schemas.openxmlformats.org/officeDocument/2006/relationships" r:embed="rId1" cstate="print"/>
        <a:srcRect l="28594" t="22656" r="28750" b="24121"/>
        <a:stretch>
          <a:fillRect/>
        </a:stretch>
      </xdr:blipFill>
      <xdr:spPr>
        <a:xfrm>
          <a:off x="12020551" y="38100"/>
          <a:ext cx="360661" cy="360000"/>
        </a:xfrm>
        <a:prstGeom prst="rect">
          <a:avLst/>
        </a:prstGeom>
      </xdr:spPr>
    </xdr:pic>
    <xdr:clientData/>
  </xdr:twoCellAnchor>
  <xdr:twoCellAnchor editAs="oneCell">
    <xdr:from>
      <xdr:col>15</xdr:col>
      <xdr:colOff>180975</xdr:colOff>
      <xdr:row>0</xdr:row>
      <xdr:rowOff>38100</xdr:rowOff>
    </xdr:from>
    <xdr:to>
      <xdr:col>15</xdr:col>
      <xdr:colOff>544308</xdr:colOff>
      <xdr:row>2</xdr:row>
      <xdr:rowOff>36150</xdr:rowOff>
    </xdr:to>
    <xdr:pic macro="[0]!gotoback">
      <xdr:nvPicPr>
        <xdr:cNvPr id="3" name="Picture 2" descr="Left Arrow.gif"/>
        <xdr:cNvPicPr>
          <a:picLocks noChangeAspect="1"/>
        </xdr:cNvPicPr>
      </xdr:nvPicPr>
      <xdr:blipFill>
        <a:blip xmlns:r="http://schemas.openxmlformats.org/officeDocument/2006/relationships" r:embed="rId2" cstate="print"/>
        <a:srcRect l="28672" t="22754" r="28750" b="24512"/>
        <a:stretch>
          <a:fillRect/>
        </a:stretch>
      </xdr:blipFill>
      <xdr:spPr>
        <a:xfrm>
          <a:off x="12420600" y="38100"/>
          <a:ext cx="363333" cy="360000"/>
        </a:xfrm>
        <a:prstGeom prst="rect">
          <a:avLst/>
        </a:prstGeom>
      </xdr:spPr>
    </xdr:pic>
    <xdr:clientData/>
  </xdr:twoCellAnchor>
  <xdr:twoCellAnchor editAs="oneCell">
    <xdr:from>
      <xdr:col>1</xdr:col>
      <xdr:colOff>123825</xdr:colOff>
      <xdr:row>1</xdr:row>
      <xdr:rowOff>114300</xdr:rowOff>
    </xdr:from>
    <xdr:to>
      <xdr:col>1</xdr:col>
      <xdr:colOff>485146</xdr:colOff>
      <xdr:row>3</xdr:row>
      <xdr:rowOff>102825</xdr:rowOff>
    </xdr:to>
    <xdr:pic macro="[0]!LoadAllActions">
      <xdr:nvPicPr>
        <xdr:cNvPr id="4" name="Picture 3" descr="Refresh.gif"/>
        <xdr:cNvPicPr>
          <a:picLocks noChangeAspect="1"/>
        </xdr:cNvPicPr>
      </xdr:nvPicPr>
      <xdr:blipFill>
        <a:blip xmlns:r="http://schemas.openxmlformats.org/officeDocument/2006/relationships" r:embed="rId3" cstate="print"/>
        <a:srcRect l="28672" t="22559" r="28594" b="24219"/>
        <a:stretch>
          <a:fillRect/>
        </a:stretch>
      </xdr:blipFill>
      <xdr:spPr>
        <a:xfrm>
          <a:off x="466725" y="295275"/>
          <a:ext cx="361321" cy="360000"/>
        </a:xfrm>
        <a:prstGeom prst="rect">
          <a:avLst/>
        </a:prstGeom>
      </xdr:spPr>
    </xdr:pic>
    <xdr:clientData/>
  </xdr:twoCellAnchor>
  <xdr:twoCellAnchor editAs="oneCell">
    <xdr:from>
      <xdr:col>0</xdr:col>
      <xdr:colOff>66675</xdr:colOff>
      <xdr:row>1</xdr:row>
      <xdr:rowOff>123825</xdr:rowOff>
    </xdr:from>
    <xdr:to>
      <xdr:col>1</xdr:col>
      <xdr:colOff>87084</xdr:colOff>
      <xdr:row>3</xdr:row>
      <xdr:rowOff>112350</xdr:rowOff>
    </xdr:to>
    <xdr:pic macro="[0]!NewAction">
      <xdr:nvPicPr>
        <xdr:cNvPr id="5" name="Picture 4" descr="Edit.gif"/>
        <xdr:cNvPicPr>
          <a:picLocks noChangeAspect="1"/>
        </xdr:cNvPicPr>
      </xdr:nvPicPr>
      <xdr:blipFill>
        <a:blip xmlns:r="http://schemas.openxmlformats.org/officeDocument/2006/relationships" r:embed="rId4" cstate="print"/>
        <a:srcRect l="28438" t="22559" r="28672" b="24316"/>
        <a:stretch>
          <a:fillRect/>
        </a:stretch>
      </xdr:blipFill>
      <xdr:spPr>
        <a:xfrm>
          <a:off x="66675" y="304800"/>
          <a:ext cx="363309" cy="36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31</xdr:col>
      <xdr:colOff>171450</xdr:colOff>
      <xdr:row>0</xdr:row>
      <xdr:rowOff>39491</xdr:rowOff>
    </xdr:from>
    <xdr:to>
      <xdr:col>31</xdr:col>
      <xdr:colOff>531450</xdr:colOff>
      <xdr:row>0</xdr:row>
      <xdr:rowOff>397837</xdr:rowOff>
    </xdr:to>
    <xdr:pic macro="[0]!getMyStore">
      <xdr:nvPicPr>
        <xdr:cNvPr id="2" name="Picture 1" descr="Refresh.gif"/>
        <xdr:cNvPicPr>
          <a:picLocks noChangeAspect="1"/>
        </xdr:cNvPicPr>
      </xdr:nvPicPr>
      <xdr:blipFill>
        <a:blip xmlns:r="http://schemas.openxmlformats.org/officeDocument/2006/relationships" r:embed="rId1" cstate="print"/>
        <a:srcRect l="28672" t="22559" r="28594" b="24219"/>
        <a:stretch>
          <a:fillRect/>
        </a:stretch>
      </xdr:blipFill>
      <xdr:spPr>
        <a:xfrm>
          <a:off x="12573000" y="39491"/>
          <a:ext cx="360000" cy="358346"/>
        </a:xfrm>
        <a:prstGeom prst="rect">
          <a:avLst/>
        </a:prstGeom>
      </xdr:spPr>
    </xdr:pic>
    <xdr:clientData/>
  </xdr:twoCellAnchor>
  <xdr:twoCellAnchor editAs="oneCell">
    <xdr:from>
      <xdr:col>8</xdr:col>
      <xdr:colOff>39834</xdr:colOff>
      <xdr:row>0</xdr:row>
      <xdr:rowOff>38100</xdr:rowOff>
    </xdr:from>
    <xdr:to>
      <xdr:col>8</xdr:col>
      <xdr:colOff>416761</xdr:colOff>
      <xdr:row>0</xdr:row>
      <xdr:rowOff>398100</xdr:rowOff>
    </xdr:to>
    <xdr:pic macro="[0]!login">
      <xdr:nvPicPr>
        <xdr:cNvPr id="3" name="Picture 2" descr="Settings.gif"/>
        <xdr:cNvPicPr>
          <a:picLocks noChangeAspect="1"/>
        </xdr:cNvPicPr>
      </xdr:nvPicPr>
      <xdr:blipFill>
        <a:blip xmlns:r="http://schemas.openxmlformats.org/officeDocument/2006/relationships" r:embed="rId2" cstate="print"/>
        <a:srcRect l="26441" t="21380" r="26864" b="23373"/>
        <a:stretch>
          <a:fillRect/>
        </a:stretch>
      </xdr:blipFill>
      <xdr:spPr>
        <a:xfrm>
          <a:off x="3278334" y="38100"/>
          <a:ext cx="376927" cy="360000"/>
        </a:xfrm>
        <a:prstGeom prst="rect">
          <a:avLst/>
        </a:prstGeom>
      </xdr:spPr>
    </xdr:pic>
    <xdr:clientData/>
  </xdr:twoCellAnchor>
  <xdr:twoCellAnchor editAs="oneCell">
    <xdr:from>
      <xdr:col>16</xdr:col>
      <xdr:colOff>122305</xdr:colOff>
      <xdr:row>0</xdr:row>
      <xdr:rowOff>35779</xdr:rowOff>
    </xdr:from>
    <xdr:to>
      <xdr:col>17</xdr:col>
      <xdr:colOff>30484</xdr:colOff>
      <xdr:row>0</xdr:row>
      <xdr:rowOff>390336</xdr:rowOff>
    </xdr:to>
    <xdr:pic macro="[0]!endre_rapp">
      <xdr:nvPicPr>
        <xdr:cNvPr id="4" name="Picture 3" descr="Plus.gif"/>
        <xdr:cNvPicPr>
          <a:picLocks noChangeAspect="1"/>
        </xdr:cNvPicPr>
      </xdr:nvPicPr>
      <xdr:blipFill>
        <a:blip xmlns:r="http://schemas.openxmlformats.org/officeDocument/2006/relationships" r:embed="rId3" cstate="print"/>
        <a:srcRect l="28635" t="22286" r="28747" b="24392"/>
        <a:stretch>
          <a:fillRect/>
        </a:stretch>
      </xdr:blipFill>
      <xdr:spPr>
        <a:xfrm>
          <a:off x="6608830" y="35779"/>
          <a:ext cx="355854" cy="35455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4097" name="Spinner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4098" name="Spinner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14</xdr:col>
      <xdr:colOff>257177</xdr:colOff>
      <xdr:row>0</xdr:row>
      <xdr:rowOff>19049</xdr:rowOff>
    </xdr:from>
    <xdr:to>
      <xdr:col>16</xdr:col>
      <xdr:colOff>125773</xdr:colOff>
      <xdr:row>0</xdr:row>
      <xdr:rowOff>379049</xdr:rowOff>
    </xdr:to>
    <xdr:pic macro="[0]!frmOppsummeringShow">
      <xdr:nvPicPr>
        <xdr:cNvPr id="6" name="Bilde 5"/>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6863" t="21078" r="26765" b="23039"/>
        <a:stretch/>
      </xdr:blipFill>
      <xdr:spPr>
        <a:xfrm>
          <a:off x="5886452" y="19049"/>
          <a:ext cx="373421" cy="360000"/>
        </a:xfrm>
        <a:prstGeom prst="rect">
          <a:avLst/>
        </a:prstGeom>
      </xdr:spPr>
    </xdr:pic>
    <xdr:clientData/>
  </xdr:twoCellAnchor>
  <xdr:twoCellAnchor editAs="oneCell">
    <xdr:from>
      <xdr:col>59</xdr:col>
      <xdr:colOff>0</xdr:colOff>
      <xdr:row>0</xdr:row>
      <xdr:rowOff>0</xdr:rowOff>
    </xdr:from>
    <xdr:to>
      <xdr:col>59</xdr:col>
      <xdr:colOff>354504</xdr:colOff>
      <xdr:row>0</xdr:row>
      <xdr:rowOff>351836</xdr:rowOff>
    </xdr:to>
    <xdr:pic macro="[0]!endre_rapp">
      <xdr:nvPicPr>
        <xdr:cNvPr id="9" name="Picture 8" descr="Endre tidligere registrert uke"/>
        <xdr:cNvPicPr>
          <a:picLocks noChangeAspect="1"/>
        </xdr:cNvPicPr>
      </xdr:nvPicPr>
      <xdr:blipFill>
        <a:blip xmlns:r="http://schemas.openxmlformats.org/officeDocument/2006/relationships" r:embed="rId5" cstate="print"/>
        <a:srcRect l="28073" t="22392" r="28638" b="23875"/>
        <a:stretch>
          <a:fillRect/>
        </a:stretch>
      </xdr:blipFill>
      <xdr:spPr>
        <a:xfrm>
          <a:off x="29556075" y="0"/>
          <a:ext cx="354504" cy="351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61</xdr:row>
      <xdr:rowOff>28575</xdr:rowOff>
    </xdr:from>
    <xdr:to>
      <xdr:col>18</xdr:col>
      <xdr:colOff>3175</xdr:colOff>
      <xdr:row>82</xdr:row>
      <xdr:rowOff>92075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468125</xdr:colOff>
      <xdr:row>0</xdr:row>
      <xdr:rowOff>1</xdr:rowOff>
    </xdr:from>
    <xdr:to>
      <xdr:col>13</xdr:col>
      <xdr:colOff>347733</xdr:colOff>
      <xdr:row>0</xdr:row>
      <xdr:rowOff>358594</xdr:rowOff>
    </xdr:to>
    <xdr:pic macro="[0]!gotoback">
      <xdr:nvPicPr>
        <xdr:cNvPr id="4" name="Picture 3" descr="Left Arrow.gif"/>
        <xdr:cNvPicPr>
          <a:picLocks noChangeAspect="1"/>
        </xdr:cNvPicPr>
      </xdr:nvPicPr>
      <xdr:blipFill>
        <a:blip xmlns:r="http://schemas.openxmlformats.org/officeDocument/2006/relationships" r:embed="rId2" cstate="print"/>
        <a:srcRect l="28672" t="22754" r="28750" b="24512"/>
        <a:stretch>
          <a:fillRect/>
        </a:stretch>
      </xdr:blipFill>
      <xdr:spPr>
        <a:xfrm>
          <a:off x="5876668" y="1"/>
          <a:ext cx="360000" cy="358593"/>
        </a:xfrm>
        <a:prstGeom prst="rect">
          <a:avLst/>
        </a:prstGeom>
      </xdr:spPr>
    </xdr:pic>
    <xdr:clientData/>
  </xdr:twoCellAnchor>
  <xdr:twoCellAnchor editAs="oneCell">
    <xdr:from>
      <xdr:col>7</xdr:col>
      <xdr:colOff>47783</xdr:colOff>
      <xdr:row>0</xdr:row>
      <xdr:rowOff>16565</xdr:rowOff>
    </xdr:from>
    <xdr:to>
      <xdr:col>7</xdr:col>
      <xdr:colOff>407783</xdr:colOff>
      <xdr:row>0</xdr:row>
      <xdr:rowOff>374911</xdr:rowOff>
    </xdr:to>
    <xdr:pic macro="[0]!GetMyOms">
      <xdr:nvPicPr>
        <xdr:cNvPr id="5" name="Picture 4" descr="Refresh.gif"/>
        <xdr:cNvPicPr>
          <a:picLocks noChangeAspect="1"/>
        </xdr:cNvPicPr>
      </xdr:nvPicPr>
      <xdr:blipFill>
        <a:blip xmlns:r="http://schemas.openxmlformats.org/officeDocument/2006/relationships" r:embed="rId3" cstate="print"/>
        <a:srcRect l="28672" t="22559" r="28594" b="24219"/>
        <a:stretch>
          <a:fillRect/>
        </a:stretch>
      </xdr:blipFill>
      <xdr:spPr>
        <a:xfrm>
          <a:off x="2971544" y="16565"/>
          <a:ext cx="360000" cy="358346"/>
        </a:xfrm>
        <a:prstGeom prst="rect">
          <a:avLst/>
        </a:prstGeom>
      </xdr:spPr>
    </xdr:pic>
    <xdr:clientData/>
  </xdr:twoCellAnchor>
  <xdr:twoCellAnchor editAs="oneCell">
    <xdr:from>
      <xdr:col>7</xdr:col>
      <xdr:colOff>419100</xdr:colOff>
      <xdr:row>0</xdr:row>
      <xdr:rowOff>9525</xdr:rowOff>
    </xdr:from>
    <xdr:to>
      <xdr:col>8</xdr:col>
      <xdr:colOff>310252</xdr:colOff>
      <xdr:row>0</xdr:row>
      <xdr:rowOff>369525</xdr:rowOff>
    </xdr:to>
    <xdr:pic macro="[0]!login">
      <xdr:nvPicPr>
        <xdr:cNvPr id="6" name="Picture 5" descr="Settings.gif"/>
        <xdr:cNvPicPr>
          <a:picLocks noChangeAspect="1"/>
        </xdr:cNvPicPr>
      </xdr:nvPicPr>
      <xdr:blipFill>
        <a:blip xmlns:r="http://schemas.openxmlformats.org/officeDocument/2006/relationships" r:embed="rId4" cstate="print"/>
        <a:srcRect l="26441" t="21380" r="26864" b="23373"/>
        <a:stretch>
          <a:fillRect/>
        </a:stretch>
      </xdr:blipFill>
      <xdr:spPr>
        <a:xfrm>
          <a:off x="3486150" y="9525"/>
          <a:ext cx="376927" cy="360000"/>
        </a:xfrm>
        <a:prstGeom prst="rect">
          <a:avLst/>
        </a:prstGeom>
      </xdr:spPr>
    </xdr:pic>
    <xdr:clientData/>
  </xdr:twoCellAnchor>
  <xdr:twoCellAnchor>
    <xdr:from>
      <xdr:col>0</xdr:col>
      <xdr:colOff>0</xdr:colOff>
      <xdr:row>82</xdr:row>
      <xdr:rowOff>112711</xdr:rowOff>
    </xdr:from>
    <xdr:to>
      <xdr:col>18</xdr:col>
      <xdr:colOff>0</xdr:colOff>
      <xdr:row>104</xdr:row>
      <xdr:rowOff>22224</xdr:rowOff>
    </xdr:to>
    <xdr:graphicFrame macro="">
      <xdr:nvGraphicFramePr>
        <xdr:cNvPr id="3" name="Diagra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33337</xdr:rowOff>
    </xdr:from>
    <xdr:to>
      <xdr:col>18</xdr:col>
      <xdr:colOff>0</xdr:colOff>
      <xdr:row>124</xdr:row>
      <xdr:rowOff>66675</xdr:rowOff>
    </xdr:to>
    <xdr:graphicFrame macro="">
      <xdr:nvGraphicFramePr>
        <xdr:cNvPr id="7" name="Diagram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23811</xdr:colOff>
      <xdr:row>124</xdr:row>
      <xdr:rowOff>90487</xdr:rowOff>
    </xdr:from>
    <xdr:to>
      <xdr:col>17</xdr:col>
      <xdr:colOff>609599</xdr:colOff>
      <xdr:row>142</xdr:row>
      <xdr:rowOff>66675</xdr:rowOff>
    </xdr:to>
    <xdr:graphicFrame macro="">
      <xdr:nvGraphicFramePr>
        <xdr:cNvPr id="8" name="Diagram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142</xdr:row>
      <xdr:rowOff>14286</xdr:rowOff>
    </xdr:from>
    <xdr:to>
      <xdr:col>17</xdr:col>
      <xdr:colOff>590550</xdr:colOff>
      <xdr:row>160</xdr:row>
      <xdr:rowOff>133349</xdr:rowOff>
    </xdr:to>
    <xdr:graphicFrame macro="">
      <xdr:nvGraphicFramePr>
        <xdr:cNvPr id="10" name="Diagram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468125</xdr:colOff>
      <xdr:row>0</xdr:row>
      <xdr:rowOff>1</xdr:rowOff>
    </xdr:from>
    <xdr:to>
      <xdr:col>15</xdr:col>
      <xdr:colOff>357258</xdr:colOff>
      <xdr:row>0</xdr:row>
      <xdr:rowOff>406219</xdr:rowOff>
    </xdr:to>
    <xdr:pic macro="[0]!gotoback">
      <xdr:nvPicPr>
        <xdr:cNvPr id="2" name="Picture 3" descr="Left Arrow.gif"/>
        <xdr:cNvPicPr>
          <a:picLocks noChangeAspect="1"/>
        </xdr:cNvPicPr>
      </xdr:nvPicPr>
      <xdr:blipFill>
        <a:blip xmlns:r="http://schemas.openxmlformats.org/officeDocument/2006/relationships" r:embed="rId1" cstate="print"/>
        <a:srcRect l="28672" t="22754" r="28750" b="24512"/>
        <a:stretch>
          <a:fillRect/>
        </a:stretch>
      </xdr:blipFill>
      <xdr:spPr>
        <a:xfrm>
          <a:off x="5840225" y="1"/>
          <a:ext cx="355858" cy="358593"/>
        </a:xfrm>
        <a:prstGeom prst="rect">
          <a:avLst/>
        </a:prstGeom>
      </xdr:spPr>
    </xdr:pic>
    <xdr:clientData/>
  </xdr:twoCellAnchor>
  <xdr:twoCellAnchor editAs="oneCell">
    <xdr:from>
      <xdr:col>9</xdr:col>
      <xdr:colOff>47783</xdr:colOff>
      <xdr:row>0</xdr:row>
      <xdr:rowOff>16565</xdr:rowOff>
    </xdr:from>
    <xdr:to>
      <xdr:col>9</xdr:col>
      <xdr:colOff>407783</xdr:colOff>
      <xdr:row>0</xdr:row>
      <xdr:rowOff>422536</xdr:rowOff>
    </xdr:to>
    <xdr:pic macro="[0]!GetMyShrink">
      <xdr:nvPicPr>
        <xdr:cNvPr id="3" name="Picture 4" descr="Refresh.gif"/>
        <xdr:cNvPicPr>
          <a:picLocks noChangeAspect="1"/>
        </xdr:cNvPicPr>
      </xdr:nvPicPr>
      <xdr:blipFill>
        <a:blip xmlns:r="http://schemas.openxmlformats.org/officeDocument/2006/relationships" r:embed="rId2" cstate="print"/>
        <a:srcRect l="28672" t="22559" r="28594" b="24219"/>
        <a:stretch>
          <a:fillRect/>
        </a:stretch>
      </xdr:blipFill>
      <xdr:spPr>
        <a:xfrm>
          <a:off x="2886233" y="16565"/>
          <a:ext cx="360000" cy="358346"/>
        </a:xfrm>
        <a:prstGeom prst="rect">
          <a:avLst/>
        </a:prstGeom>
      </xdr:spPr>
    </xdr:pic>
    <xdr:clientData/>
  </xdr:twoCellAnchor>
  <xdr:twoCellAnchor editAs="oneCell">
    <xdr:from>
      <xdr:col>9</xdr:col>
      <xdr:colOff>419100</xdr:colOff>
      <xdr:row>0</xdr:row>
      <xdr:rowOff>9525</xdr:rowOff>
    </xdr:from>
    <xdr:to>
      <xdr:col>10</xdr:col>
      <xdr:colOff>357877</xdr:colOff>
      <xdr:row>0</xdr:row>
      <xdr:rowOff>417150</xdr:rowOff>
    </xdr:to>
    <xdr:pic macro="[0]!login">
      <xdr:nvPicPr>
        <xdr:cNvPr id="4" name="Picture 5" descr="Settings.gif"/>
        <xdr:cNvPicPr>
          <a:picLocks noChangeAspect="1"/>
        </xdr:cNvPicPr>
      </xdr:nvPicPr>
      <xdr:blipFill>
        <a:blip xmlns:r="http://schemas.openxmlformats.org/officeDocument/2006/relationships" r:embed="rId3" cstate="print"/>
        <a:srcRect l="26441" t="21380" r="26864" b="23373"/>
        <a:stretch>
          <a:fillRect/>
        </a:stretch>
      </xdr:blipFill>
      <xdr:spPr>
        <a:xfrm>
          <a:off x="3257550" y="9525"/>
          <a:ext cx="376927" cy="360000"/>
        </a:xfrm>
        <a:prstGeom prst="rect">
          <a:avLst/>
        </a:prstGeom>
      </xdr:spPr>
    </xdr:pic>
    <xdr:clientData/>
  </xdr:twoCellAnchor>
  <xdr:twoCellAnchor>
    <xdr:from>
      <xdr:col>22</xdr:col>
      <xdr:colOff>19049</xdr:colOff>
      <xdr:row>7</xdr:row>
      <xdr:rowOff>38099</xdr:rowOff>
    </xdr:from>
    <xdr:to>
      <xdr:col>32</xdr:col>
      <xdr:colOff>746124</xdr:colOff>
      <xdr:row>40</xdr:row>
      <xdr:rowOff>15874</xdr:rowOff>
    </xdr:to>
    <xdr:graphicFrame macro="">
      <xdr:nvGraphicFramePr>
        <xdr:cNvPr id="9" name="Diagram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628808</xdr:colOff>
      <xdr:row>0</xdr:row>
      <xdr:rowOff>16563</xdr:rowOff>
    </xdr:from>
    <xdr:to>
      <xdr:col>4</xdr:col>
      <xdr:colOff>212504</xdr:colOff>
      <xdr:row>0</xdr:row>
      <xdr:rowOff>329746</xdr:rowOff>
    </xdr:to>
    <xdr:pic macro="[0]!shrinktab">
      <xdr:nvPicPr>
        <xdr:cNvPr id="3" name="Picture 4" descr="Refresh.gif"/>
        <xdr:cNvPicPr>
          <a:picLocks noChangeAspect="1"/>
        </xdr:cNvPicPr>
      </xdr:nvPicPr>
      <xdr:blipFill>
        <a:blip xmlns:r="http://schemas.openxmlformats.org/officeDocument/2006/relationships" r:embed="rId1" cstate="print"/>
        <a:srcRect l="28672" t="22559" r="28594" b="24219"/>
        <a:stretch>
          <a:fillRect/>
        </a:stretch>
      </xdr:blipFill>
      <xdr:spPr>
        <a:xfrm>
          <a:off x="2438558" y="16563"/>
          <a:ext cx="345696" cy="313183"/>
        </a:xfrm>
        <a:prstGeom prst="rect">
          <a:avLst/>
        </a:prstGeom>
      </xdr:spPr>
    </xdr:pic>
    <xdr:clientData/>
  </xdr:twoCellAnchor>
  <xdr:twoCellAnchor editAs="oneCell">
    <xdr:from>
      <xdr:col>4</xdr:col>
      <xdr:colOff>266701</xdr:colOff>
      <xdr:row>0</xdr:row>
      <xdr:rowOff>28573</xdr:rowOff>
    </xdr:from>
    <xdr:to>
      <xdr:col>4</xdr:col>
      <xdr:colOff>628651</xdr:colOff>
      <xdr:row>0</xdr:row>
      <xdr:rowOff>342898</xdr:rowOff>
    </xdr:to>
    <xdr:pic macro="[0]!login">
      <xdr:nvPicPr>
        <xdr:cNvPr id="4" name="Picture 5" descr="Settings.gif"/>
        <xdr:cNvPicPr>
          <a:picLocks noChangeAspect="1"/>
        </xdr:cNvPicPr>
      </xdr:nvPicPr>
      <xdr:blipFill>
        <a:blip xmlns:r="http://schemas.openxmlformats.org/officeDocument/2006/relationships" r:embed="rId2" cstate="print"/>
        <a:srcRect l="26441" t="21380" r="26864" b="23373"/>
        <a:stretch>
          <a:fillRect/>
        </a:stretch>
      </xdr:blipFill>
      <xdr:spPr>
        <a:xfrm>
          <a:off x="2838451" y="28573"/>
          <a:ext cx="361950" cy="3143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1</xdr:row>
          <xdr:rowOff>38100</xdr:rowOff>
        </xdr:from>
        <xdr:to>
          <xdr:col>2</xdr:col>
          <xdr:colOff>657225</xdr:colOff>
          <xdr:row>2</xdr:row>
          <xdr:rowOff>171450</xdr:rowOff>
        </xdr:to>
        <xdr:sp macro="" textlink="">
          <xdr:nvSpPr>
            <xdr:cNvPr id="104449" name="Drop Down 1"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2</xdr:row>
          <xdr:rowOff>0</xdr:rowOff>
        </xdr:from>
        <xdr:to>
          <xdr:col>10</xdr:col>
          <xdr:colOff>228600</xdr:colOff>
          <xdr:row>3</xdr:row>
          <xdr:rowOff>0</xdr:rowOff>
        </xdr:to>
        <xdr:sp macro="" textlink="">
          <xdr:nvSpPr>
            <xdr:cNvPr id="104450" name="Spinner 2" hidden="1">
              <a:extLst>
                <a:ext uri="{63B3BB69-23CF-44E3-9099-C40C66FF867C}">
                  <a14:compatExt spid="_x0000_s1044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352426</xdr:colOff>
      <xdr:row>6</xdr:row>
      <xdr:rowOff>104775</xdr:rowOff>
    </xdr:from>
    <xdr:to>
      <xdr:col>15</xdr:col>
      <xdr:colOff>3276600</xdr:colOff>
      <xdr:row>40</xdr:row>
      <xdr:rowOff>76200</xdr:rowOff>
    </xdr:to>
    <xdr:graphicFrame macro="">
      <xdr:nvGraphicFramePr>
        <xdr:cNvPr id="5" name="Diagra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476251</xdr:colOff>
      <xdr:row>1</xdr:row>
      <xdr:rowOff>19049</xdr:rowOff>
    </xdr:from>
    <xdr:to>
      <xdr:col>6</xdr:col>
      <xdr:colOff>0</xdr:colOff>
      <xdr:row>2</xdr:row>
      <xdr:rowOff>200025</xdr:rowOff>
    </xdr:to>
    <xdr:pic macro="[0]!ToggleChart">
      <xdr:nvPicPr>
        <xdr:cNvPr id="10" name="Bilde 9" descr="Bilderesultat for graph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810001" y="400049"/>
          <a:ext cx="381001" cy="381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15</xdr:row>
      <xdr:rowOff>38100</xdr:rowOff>
    </xdr:from>
    <xdr:to>
      <xdr:col>6</xdr:col>
      <xdr:colOff>247650</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276225</xdr:colOff>
      <xdr:row>15</xdr:row>
      <xdr:rowOff>9526</xdr:rowOff>
    </xdr:from>
    <xdr:to>
      <xdr:col>13</xdr:col>
      <xdr:colOff>0</xdr:colOff>
      <xdr:row>27</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276225</xdr:colOff>
      <xdr:row>27</xdr:row>
      <xdr:rowOff>171450</xdr:rowOff>
    </xdr:from>
    <xdr:to>
      <xdr:col>13</xdr:col>
      <xdr:colOff>0</xdr:colOff>
      <xdr:row>42</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11206</xdr:colOff>
      <xdr:row>27</xdr:row>
      <xdr:rowOff>168088</xdr:rowOff>
    </xdr:from>
    <xdr:to>
      <xdr:col>20</xdr:col>
      <xdr:colOff>212910</xdr:colOff>
      <xdr:row>42</xdr:row>
      <xdr:rowOff>56030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137583</xdr:colOff>
      <xdr:row>2</xdr:row>
      <xdr:rowOff>10583</xdr:rowOff>
    </xdr:from>
    <xdr:to>
      <xdr:col>6</xdr:col>
      <xdr:colOff>497583</xdr:colOff>
      <xdr:row>2</xdr:row>
      <xdr:rowOff>368929</xdr:rowOff>
    </xdr:to>
    <xdr:pic macro="[0]!getStoreTrend">
      <xdr:nvPicPr>
        <xdr:cNvPr id="6" name="Picture 5" descr="Refresh.gif"/>
        <xdr:cNvPicPr>
          <a:picLocks noChangeAspect="1"/>
        </xdr:cNvPicPr>
      </xdr:nvPicPr>
      <xdr:blipFill>
        <a:blip xmlns:r="http://schemas.openxmlformats.org/officeDocument/2006/relationships" r:embed="rId5" cstate="print"/>
        <a:srcRect l="28672" t="22559" r="28594" b="24219"/>
        <a:stretch>
          <a:fillRect/>
        </a:stretch>
      </xdr:blipFill>
      <xdr:spPr>
        <a:xfrm>
          <a:off x="4116916" y="391583"/>
          <a:ext cx="360000" cy="358346"/>
        </a:xfrm>
        <a:prstGeom prst="rect">
          <a:avLst/>
        </a:prstGeom>
      </xdr:spPr>
    </xdr:pic>
    <xdr:clientData/>
  </xdr:twoCellAnchor>
  <xdr:twoCellAnchor>
    <xdr:from>
      <xdr:col>18</xdr:col>
      <xdr:colOff>21790</xdr:colOff>
      <xdr:row>2</xdr:row>
      <xdr:rowOff>89648</xdr:rowOff>
    </xdr:from>
    <xdr:to>
      <xdr:col>25</xdr:col>
      <xdr:colOff>311276</xdr:colOff>
      <xdr:row>15</xdr:row>
      <xdr:rowOff>56652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27</xdr:row>
      <xdr:rowOff>168710</xdr:rowOff>
    </xdr:from>
    <xdr:to>
      <xdr:col>6</xdr:col>
      <xdr:colOff>257735</xdr:colOff>
      <xdr:row>42</xdr:row>
      <xdr:rowOff>52294</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1</xdr:col>
          <xdr:colOff>600075</xdr:colOff>
          <xdr:row>2</xdr:row>
          <xdr:rowOff>0</xdr:rowOff>
        </xdr:from>
        <xdr:to>
          <xdr:col>2</xdr:col>
          <xdr:colOff>133350</xdr:colOff>
          <xdr:row>3</xdr:row>
          <xdr:rowOff>9525</xdr:rowOff>
        </xdr:to>
        <xdr:sp macro="" textlink="">
          <xdr:nvSpPr>
            <xdr:cNvPr id="36865" name="Spinner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142875</xdr:colOff>
          <xdr:row>3</xdr:row>
          <xdr:rowOff>19050</xdr:rowOff>
        </xdr:to>
        <xdr:sp macro="" textlink="">
          <xdr:nvSpPr>
            <xdr:cNvPr id="36866" name="Spinner 2" hidden="1">
              <a:extLst>
                <a:ext uri="{63B3BB69-23CF-44E3-9099-C40C66FF867C}">
                  <a14:compatExt spid="_x0000_s3686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13</xdr:col>
      <xdr:colOff>11206</xdr:colOff>
      <xdr:row>15</xdr:row>
      <xdr:rowOff>22411</xdr:rowOff>
    </xdr:from>
    <xdr:to>
      <xdr:col>20</xdr:col>
      <xdr:colOff>212911</xdr:colOff>
      <xdr:row>27</xdr:row>
      <xdr:rowOff>121022</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10195278" cy="693796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0</xdr:col>
      <xdr:colOff>0</xdr:colOff>
      <xdr:row>59</xdr:row>
      <xdr:rowOff>161925</xdr:rowOff>
    </xdr:from>
    <xdr:to>
      <xdr:col>15</xdr:col>
      <xdr:colOff>0</xdr:colOff>
      <xdr:row>76</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76</xdr:row>
      <xdr:rowOff>133350</xdr:rowOff>
    </xdr:from>
    <xdr:to>
      <xdr:col>15</xdr:col>
      <xdr:colOff>0</xdr:colOff>
      <xdr:row>91</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141141</xdr:colOff>
      <xdr:row>0</xdr:row>
      <xdr:rowOff>29966</xdr:rowOff>
    </xdr:from>
    <xdr:to>
      <xdr:col>14</xdr:col>
      <xdr:colOff>501141</xdr:colOff>
      <xdr:row>0</xdr:row>
      <xdr:rowOff>388312</xdr:rowOff>
    </xdr:to>
    <xdr:pic macro="[0]!getMySim">
      <xdr:nvPicPr>
        <xdr:cNvPr id="4" name="Picture 3" descr="Refresh.gif"/>
        <xdr:cNvPicPr>
          <a:picLocks noChangeAspect="1"/>
        </xdr:cNvPicPr>
      </xdr:nvPicPr>
      <xdr:blipFill>
        <a:blip xmlns:r="http://schemas.openxmlformats.org/officeDocument/2006/relationships" r:embed="rId3" cstate="print"/>
        <a:srcRect l="28672" t="22559" r="28594" b="24219"/>
        <a:stretch>
          <a:fillRect/>
        </a:stretch>
      </xdr:blipFill>
      <xdr:spPr>
        <a:xfrm>
          <a:off x="8932716" y="29966"/>
          <a:ext cx="360000" cy="358346"/>
        </a:xfrm>
        <a:prstGeom prst="rect">
          <a:avLst/>
        </a:prstGeom>
      </xdr:spPr>
    </xdr:pic>
    <xdr:clientData/>
  </xdr:twoCellAnchor>
  <xdr:twoCellAnchor editAs="oneCell">
    <xdr:from>
      <xdr:col>4</xdr:col>
      <xdr:colOff>514350</xdr:colOff>
      <xdr:row>0</xdr:row>
      <xdr:rowOff>38100</xdr:rowOff>
    </xdr:from>
    <xdr:to>
      <xdr:col>5</xdr:col>
      <xdr:colOff>148327</xdr:colOff>
      <xdr:row>0</xdr:row>
      <xdr:rowOff>398100</xdr:rowOff>
    </xdr:to>
    <xdr:pic macro="[0]!login">
      <xdr:nvPicPr>
        <xdr:cNvPr id="5" name="Picture 4" descr="Settings.gif"/>
        <xdr:cNvPicPr>
          <a:picLocks noChangeAspect="1"/>
        </xdr:cNvPicPr>
      </xdr:nvPicPr>
      <xdr:blipFill>
        <a:blip xmlns:r="http://schemas.openxmlformats.org/officeDocument/2006/relationships" r:embed="rId4" cstate="print"/>
        <a:srcRect l="26441" t="21380" r="26864" b="23373"/>
        <a:stretch>
          <a:fillRect/>
        </a:stretch>
      </xdr:blipFill>
      <xdr:spPr>
        <a:xfrm>
          <a:off x="2981325" y="38100"/>
          <a:ext cx="376927" cy="360000"/>
        </a:xfrm>
        <a:prstGeom prst="rect">
          <a:avLst/>
        </a:prstGeom>
      </xdr:spPr>
    </xdr:pic>
    <xdr:clientData/>
  </xdr:twoCellAnchor>
  <xdr:twoCellAnchor editAs="oneCell">
    <xdr:from>
      <xdr:col>13</xdr:col>
      <xdr:colOff>390525</xdr:colOff>
      <xdr:row>0</xdr:row>
      <xdr:rowOff>28575</xdr:rowOff>
    </xdr:from>
    <xdr:to>
      <xdr:col>14</xdr:col>
      <xdr:colOff>134033</xdr:colOff>
      <xdr:row>0</xdr:row>
      <xdr:rowOff>388575</xdr:rowOff>
    </xdr:to>
    <xdr:pic macro="[0]!saveMySim">
      <xdr:nvPicPr>
        <xdr:cNvPr id="6" name="Picture 5" descr="Save.gif"/>
        <xdr:cNvPicPr>
          <a:picLocks noChangeAspect="1"/>
        </xdr:cNvPicPr>
      </xdr:nvPicPr>
      <xdr:blipFill>
        <a:blip xmlns:r="http://schemas.openxmlformats.org/officeDocument/2006/relationships" r:embed="rId5" cstate="print"/>
        <a:srcRect l="28672" t="22266" r="28281" b="24316"/>
        <a:stretch>
          <a:fillRect/>
        </a:stretch>
      </xdr:blipFill>
      <xdr:spPr>
        <a:xfrm>
          <a:off x="8562975" y="28575"/>
          <a:ext cx="362633" cy="360000"/>
        </a:xfrm>
        <a:prstGeom prst="rect">
          <a:avLst/>
        </a:prstGeom>
      </xdr:spPr>
    </xdr:pic>
    <xdr:clientData/>
  </xdr:twoCellAnchor>
  <xdr:twoCellAnchor>
    <xdr:from>
      <xdr:col>0</xdr:col>
      <xdr:colOff>0</xdr:colOff>
      <xdr:row>91</xdr:row>
      <xdr:rowOff>19050</xdr:rowOff>
    </xdr:from>
    <xdr:to>
      <xdr:col>16</xdr:col>
      <xdr:colOff>590549</xdr:colOff>
      <xdr:row>105</xdr:row>
      <xdr:rowOff>95250</xdr:rowOff>
    </xdr:to>
    <xdr:graphicFrame macro="">
      <xdr:nvGraphicFramePr>
        <xdr:cNvPr id="7" name="Diagram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9525</xdr:colOff>
      <xdr:row>5</xdr:row>
      <xdr:rowOff>0</xdr:rowOff>
    </xdr:from>
    <xdr:to>
      <xdr:col>18</xdr:col>
      <xdr:colOff>1</xdr:colOff>
      <xdr:row>20</xdr:row>
      <xdr:rowOff>133351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9525</xdr:colOff>
      <xdr:row>21</xdr:row>
      <xdr:rowOff>0</xdr:rowOff>
    </xdr:from>
    <xdr:to>
      <xdr:col>18</xdr:col>
      <xdr:colOff>9525</xdr:colOff>
      <xdr:row>35</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xdr:colOff>
      <xdr:row>35</xdr:row>
      <xdr:rowOff>133350</xdr:rowOff>
    </xdr:from>
    <xdr:to>
      <xdr:col>18</xdr:col>
      <xdr:colOff>0</xdr:colOff>
      <xdr:row>58</xdr:row>
      <xdr:rowOff>104775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188766</xdr:colOff>
      <xdr:row>0</xdr:row>
      <xdr:rowOff>39491</xdr:rowOff>
    </xdr:from>
    <xdr:to>
      <xdr:col>17</xdr:col>
      <xdr:colOff>548766</xdr:colOff>
      <xdr:row>1</xdr:row>
      <xdr:rowOff>93037</xdr:rowOff>
    </xdr:to>
    <xdr:pic macro="[0]!getSickStat">
      <xdr:nvPicPr>
        <xdr:cNvPr id="7" name="Picture 6" descr="Refresh.gif"/>
        <xdr:cNvPicPr>
          <a:picLocks noChangeAspect="1"/>
        </xdr:cNvPicPr>
      </xdr:nvPicPr>
      <xdr:blipFill>
        <a:blip xmlns:r="http://schemas.openxmlformats.org/officeDocument/2006/relationships" r:embed="rId4" cstate="print"/>
        <a:srcRect l="28672" t="22559" r="28594" b="24219"/>
        <a:stretch>
          <a:fillRect/>
        </a:stretch>
      </xdr:blipFill>
      <xdr:spPr>
        <a:xfrm>
          <a:off x="8456466" y="39491"/>
          <a:ext cx="360000" cy="358346"/>
        </a:xfrm>
        <a:prstGeom prst="rect">
          <a:avLst/>
        </a:prstGeom>
      </xdr:spPr>
    </xdr:pic>
    <xdr:clientData/>
  </xdr:twoCellAnchor>
  <xdr:twoCellAnchor editAs="oneCell">
    <xdr:from>
      <xdr:col>4</xdr:col>
      <xdr:colOff>95250</xdr:colOff>
      <xdr:row>0</xdr:row>
      <xdr:rowOff>19050</xdr:rowOff>
    </xdr:from>
    <xdr:to>
      <xdr:col>5</xdr:col>
      <xdr:colOff>62602</xdr:colOff>
      <xdr:row>1</xdr:row>
      <xdr:rowOff>74250</xdr:rowOff>
    </xdr:to>
    <xdr:pic macro="[0]!login">
      <xdr:nvPicPr>
        <xdr:cNvPr id="8" name="Picture 7" descr="Settings.gif"/>
        <xdr:cNvPicPr>
          <a:picLocks noChangeAspect="1"/>
        </xdr:cNvPicPr>
      </xdr:nvPicPr>
      <xdr:blipFill>
        <a:blip xmlns:r="http://schemas.openxmlformats.org/officeDocument/2006/relationships" r:embed="rId5" cstate="print"/>
        <a:srcRect l="26441" t="21380" r="26864" b="23373"/>
        <a:stretch>
          <a:fillRect/>
        </a:stretch>
      </xdr:blipFill>
      <xdr:spPr>
        <a:xfrm>
          <a:off x="1685925" y="19050"/>
          <a:ext cx="376927" cy="360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26</xdr:row>
      <xdr:rowOff>161925</xdr:rowOff>
    </xdr:from>
    <xdr:to>
      <xdr:col>27</xdr:col>
      <xdr:colOff>0</xdr:colOff>
      <xdr:row>41</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41</xdr:row>
      <xdr:rowOff>66675</xdr:rowOff>
    </xdr:from>
    <xdr:to>
      <xdr:col>27</xdr:col>
      <xdr:colOff>0</xdr:colOff>
      <xdr:row>55</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55</xdr:row>
      <xdr:rowOff>142875</xdr:rowOff>
    </xdr:from>
    <xdr:to>
      <xdr:col>27</xdr:col>
      <xdr:colOff>0</xdr:colOff>
      <xdr:row>70</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4</xdr:col>
          <xdr:colOff>9525</xdr:colOff>
          <xdr:row>0</xdr:row>
          <xdr:rowOff>476250</xdr:rowOff>
        </xdr:from>
        <xdr:to>
          <xdr:col>4</xdr:col>
          <xdr:colOff>152400</xdr:colOff>
          <xdr:row>3</xdr:row>
          <xdr:rowOff>0</xdr:rowOff>
        </xdr:to>
        <xdr:sp macro="" textlink="">
          <xdr:nvSpPr>
            <xdr:cNvPr id="1025" name="Spinner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xdr:colOff>
          <xdr:row>0</xdr:row>
          <xdr:rowOff>57150</xdr:rowOff>
        </xdr:from>
        <xdr:to>
          <xdr:col>7</xdr:col>
          <xdr:colOff>114300</xdr:colOff>
          <xdr:row>0</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Hent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9</xdr:col>
          <xdr:colOff>266700</xdr:colOff>
          <xdr:row>0</xdr:row>
          <xdr:rowOff>266700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0</xdr:row>
          <xdr:rowOff>276225</xdr:rowOff>
        </xdr:from>
        <xdr:to>
          <xdr:col>26</xdr:col>
          <xdr:colOff>438150</xdr:colOff>
          <xdr:row>1</xdr:row>
          <xdr:rowOff>85725</xdr:rowOff>
        </xdr:to>
        <xdr:sp macro="" textlink="">
          <xdr:nvSpPr>
            <xdr:cNvPr id="1029" name="Option Button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Hittil i år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0</xdr:row>
          <xdr:rowOff>114300</xdr:rowOff>
        </xdr:from>
        <xdr:to>
          <xdr:col>26</xdr:col>
          <xdr:colOff>438150</xdr:colOff>
          <xdr:row>0</xdr:row>
          <xdr:rowOff>323850</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En enkelt uke</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0</xdr:colOff>
      <xdr:row>26</xdr:row>
      <xdr:rowOff>161925</xdr:rowOff>
    </xdr:from>
    <xdr:to>
      <xdr:col>27</xdr:col>
      <xdr:colOff>0</xdr:colOff>
      <xdr:row>41</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41</xdr:row>
      <xdr:rowOff>66675</xdr:rowOff>
    </xdr:from>
    <xdr:to>
      <xdr:col>27</xdr:col>
      <xdr:colOff>0</xdr:colOff>
      <xdr:row>55</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55</xdr:row>
      <xdr:rowOff>142875</xdr:rowOff>
    </xdr:from>
    <xdr:to>
      <xdr:col>27</xdr:col>
      <xdr:colOff>0</xdr:colOff>
      <xdr:row>70</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4</xdr:col>
          <xdr:colOff>9525</xdr:colOff>
          <xdr:row>0</xdr:row>
          <xdr:rowOff>295275</xdr:rowOff>
        </xdr:from>
        <xdr:to>
          <xdr:col>4</xdr:col>
          <xdr:colOff>219075</xdr:colOff>
          <xdr:row>3</xdr:row>
          <xdr:rowOff>0</xdr:rowOff>
        </xdr:to>
        <xdr:sp macro="" textlink="">
          <xdr:nvSpPr>
            <xdr:cNvPr id="22529" name="Spinner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xdr:colOff>
          <xdr:row>0</xdr:row>
          <xdr:rowOff>57150</xdr:rowOff>
        </xdr:from>
        <xdr:to>
          <xdr:col>7</xdr:col>
          <xdr:colOff>114300</xdr:colOff>
          <xdr:row>0</xdr:row>
          <xdr:rowOff>266700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Hent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9</xdr:col>
          <xdr:colOff>266700</xdr:colOff>
          <xdr:row>0</xdr:row>
          <xdr:rowOff>266700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14</xdr:col>
      <xdr:colOff>411541</xdr:colOff>
      <xdr:row>3</xdr:row>
      <xdr:rowOff>28576</xdr:rowOff>
    </xdr:from>
    <xdr:to>
      <xdr:col>15</xdr:col>
      <xdr:colOff>146041</xdr:colOff>
      <xdr:row>3</xdr:row>
      <xdr:rowOff>172034</xdr:rowOff>
    </xdr:to>
    <xdr:pic macro="[0]!HideR">
      <xdr:nvPicPr>
        <xdr:cNvPr id="4" name="Picture 3" descr="arrow_bidirectional_icon.jpg"/>
        <xdr:cNvPicPr>
          <a:picLocks noChangeAspect="1"/>
        </xdr:cNvPicPr>
      </xdr:nvPicPr>
      <xdr:blipFill>
        <a:blip xmlns:r="http://schemas.openxmlformats.org/officeDocument/2006/relationships" r:embed="rId1" cstate="print"/>
        <a:srcRect l="4124" t="27629" b="27423"/>
        <a:stretch>
          <a:fillRect/>
        </a:stretch>
      </xdr:blipFill>
      <xdr:spPr>
        <a:xfrm flipH="1">
          <a:off x="6859966" y="781051"/>
          <a:ext cx="306000" cy="143458"/>
        </a:xfrm>
        <a:prstGeom prst="rect">
          <a:avLst/>
        </a:prstGeom>
      </xdr:spPr>
    </xdr:pic>
    <xdr:clientData/>
  </xdr:twoCellAnchor>
  <xdr:twoCellAnchor editAs="oneCell">
    <xdr:from>
      <xdr:col>19</xdr:col>
      <xdr:colOff>278191</xdr:colOff>
      <xdr:row>3</xdr:row>
      <xdr:rowOff>19051</xdr:rowOff>
    </xdr:from>
    <xdr:to>
      <xdr:col>20</xdr:col>
      <xdr:colOff>146041</xdr:colOff>
      <xdr:row>3</xdr:row>
      <xdr:rowOff>163051</xdr:rowOff>
    </xdr:to>
    <xdr:pic macro="[0]!HideX">
      <xdr:nvPicPr>
        <xdr:cNvPr id="5" name="Picture 4" descr="arrow_bidirectional_icon.jpg"/>
        <xdr:cNvPicPr preferRelativeResize="0">
          <a:picLocks/>
        </xdr:cNvPicPr>
      </xdr:nvPicPr>
      <xdr:blipFill>
        <a:blip xmlns:r="http://schemas.openxmlformats.org/officeDocument/2006/relationships" r:embed="rId1" cstate="print"/>
        <a:srcRect l="4124" t="27629" b="27423"/>
        <a:stretch>
          <a:fillRect/>
        </a:stretch>
      </xdr:blipFill>
      <xdr:spPr>
        <a:xfrm flipH="1">
          <a:off x="7821991" y="771526"/>
          <a:ext cx="306000" cy="144000"/>
        </a:xfrm>
        <a:prstGeom prst="rect">
          <a:avLst/>
        </a:prstGeom>
      </xdr:spPr>
    </xdr:pic>
    <xdr:clientData/>
  </xdr:twoCellAnchor>
  <xdr:twoCellAnchor editAs="oneCell">
    <xdr:from>
      <xdr:col>14</xdr:col>
      <xdr:colOff>411541</xdr:colOff>
      <xdr:row>14</xdr:row>
      <xdr:rowOff>9526</xdr:rowOff>
    </xdr:from>
    <xdr:to>
      <xdr:col>15</xdr:col>
      <xdr:colOff>146041</xdr:colOff>
      <xdr:row>14</xdr:row>
      <xdr:rowOff>152984</xdr:rowOff>
    </xdr:to>
    <xdr:pic macro="[0]!HideR">
      <xdr:nvPicPr>
        <xdr:cNvPr id="6" name="Picture 5" descr="arrow_bidirectional_icon.jpg"/>
        <xdr:cNvPicPr>
          <a:picLocks noChangeAspect="1"/>
        </xdr:cNvPicPr>
      </xdr:nvPicPr>
      <xdr:blipFill>
        <a:blip xmlns:r="http://schemas.openxmlformats.org/officeDocument/2006/relationships" r:embed="rId1" cstate="print"/>
        <a:srcRect l="4124" t="27629" b="27423"/>
        <a:stretch>
          <a:fillRect/>
        </a:stretch>
      </xdr:blipFill>
      <xdr:spPr>
        <a:xfrm flipH="1">
          <a:off x="6859966" y="2400301"/>
          <a:ext cx="306000" cy="143458"/>
        </a:xfrm>
        <a:prstGeom prst="rect">
          <a:avLst/>
        </a:prstGeom>
      </xdr:spPr>
    </xdr:pic>
    <xdr:clientData/>
  </xdr:twoCellAnchor>
  <xdr:twoCellAnchor editAs="oneCell">
    <xdr:from>
      <xdr:col>19</xdr:col>
      <xdr:colOff>278191</xdr:colOff>
      <xdr:row>14</xdr:row>
      <xdr:rowOff>9526</xdr:rowOff>
    </xdr:from>
    <xdr:to>
      <xdr:col>20</xdr:col>
      <xdr:colOff>146041</xdr:colOff>
      <xdr:row>14</xdr:row>
      <xdr:rowOff>153526</xdr:rowOff>
    </xdr:to>
    <xdr:pic macro="[0]!HideX">
      <xdr:nvPicPr>
        <xdr:cNvPr id="7" name="Picture 6" descr="arrow_bidirectional_icon.jpg"/>
        <xdr:cNvPicPr preferRelativeResize="0">
          <a:picLocks/>
        </xdr:cNvPicPr>
      </xdr:nvPicPr>
      <xdr:blipFill>
        <a:blip xmlns:r="http://schemas.openxmlformats.org/officeDocument/2006/relationships" r:embed="rId1" cstate="print"/>
        <a:srcRect l="4124" t="27629" b="27423"/>
        <a:stretch>
          <a:fillRect/>
        </a:stretch>
      </xdr:blipFill>
      <xdr:spPr>
        <a:xfrm flipH="1">
          <a:off x="7821991" y="2400301"/>
          <a:ext cx="306000" cy="144000"/>
        </a:xfrm>
        <a:prstGeom prst="rect">
          <a:avLst/>
        </a:prstGeom>
      </xdr:spPr>
    </xdr:pic>
    <xdr:clientData/>
  </xdr:twoCellAnchor>
  <xdr:twoCellAnchor editAs="oneCell">
    <xdr:from>
      <xdr:col>28</xdr:col>
      <xdr:colOff>95250</xdr:colOff>
      <xdr:row>0</xdr:row>
      <xdr:rowOff>57150</xdr:rowOff>
    </xdr:from>
    <xdr:to>
      <xdr:col>28</xdr:col>
      <xdr:colOff>458583</xdr:colOff>
      <xdr:row>1</xdr:row>
      <xdr:rowOff>112350</xdr:rowOff>
    </xdr:to>
    <xdr:pic macro="[0]!gotoback">
      <xdr:nvPicPr>
        <xdr:cNvPr id="8" name="Picture 7" descr="Left Arrow.gif"/>
        <xdr:cNvPicPr>
          <a:picLocks noChangeAspect="1"/>
        </xdr:cNvPicPr>
      </xdr:nvPicPr>
      <xdr:blipFill>
        <a:blip xmlns:r="http://schemas.openxmlformats.org/officeDocument/2006/relationships" r:embed="rId2" cstate="print"/>
        <a:srcRect l="28672" t="22754" r="28750" b="24512"/>
        <a:stretch>
          <a:fillRect/>
        </a:stretch>
      </xdr:blipFill>
      <xdr:spPr>
        <a:xfrm>
          <a:off x="10572750" y="57150"/>
          <a:ext cx="363333" cy="360000"/>
        </a:xfrm>
        <a:prstGeom prst="rect">
          <a:avLst/>
        </a:prstGeom>
      </xdr:spPr>
    </xdr:pic>
    <xdr:clientData/>
  </xdr:twoCellAnchor>
  <xdr:twoCellAnchor editAs="oneCell">
    <xdr:from>
      <xdr:col>27</xdr:col>
      <xdr:colOff>371475</xdr:colOff>
      <xdr:row>0</xdr:row>
      <xdr:rowOff>57150</xdr:rowOff>
    </xdr:from>
    <xdr:to>
      <xdr:col>28</xdr:col>
      <xdr:colOff>100702</xdr:colOff>
      <xdr:row>1</xdr:row>
      <xdr:rowOff>112350</xdr:rowOff>
    </xdr:to>
    <xdr:pic macro="[0]!login">
      <xdr:nvPicPr>
        <xdr:cNvPr id="10" name="Picture 9" descr="Settings.gif"/>
        <xdr:cNvPicPr>
          <a:picLocks noChangeAspect="1"/>
        </xdr:cNvPicPr>
      </xdr:nvPicPr>
      <xdr:blipFill>
        <a:blip xmlns:r="http://schemas.openxmlformats.org/officeDocument/2006/relationships" r:embed="rId3" cstate="print"/>
        <a:srcRect l="26441" t="21380" r="26864" b="23373"/>
        <a:stretch>
          <a:fillRect/>
        </a:stretch>
      </xdr:blipFill>
      <xdr:spPr>
        <a:xfrm>
          <a:off x="10201275" y="57150"/>
          <a:ext cx="376927" cy="360000"/>
        </a:xfrm>
        <a:prstGeom prst="rect">
          <a:avLst/>
        </a:prstGeom>
      </xdr:spPr>
    </xdr:pic>
    <xdr:clientData/>
  </xdr:twoCellAnchor>
  <xdr:twoCellAnchor editAs="oneCell">
    <xdr:from>
      <xdr:col>7</xdr:col>
      <xdr:colOff>76200</xdr:colOff>
      <xdr:row>0</xdr:row>
      <xdr:rowOff>114300</xdr:rowOff>
    </xdr:from>
    <xdr:to>
      <xdr:col>8</xdr:col>
      <xdr:colOff>136032</xdr:colOff>
      <xdr:row>1</xdr:row>
      <xdr:rowOff>169500</xdr:rowOff>
    </xdr:to>
    <xdr:pic macro="[0]!comments">
      <xdr:nvPicPr>
        <xdr:cNvPr id="11" name="Picture 10" descr="Register.gif"/>
        <xdr:cNvPicPr>
          <a:picLocks noChangeAspect="1"/>
        </xdr:cNvPicPr>
      </xdr:nvPicPr>
      <xdr:blipFill>
        <a:blip xmlns:r="http://schemas.openxmlformats.org/officeDocument/2006/relationships" r:embed="rId4" cstate="print"/>
        <a:srcRect l="28359" t="22559" r="28594" b="24316"/>
        <a:stretch>
          <a:fillRect/>
        </a:stretch>
      </xdr:blipFill>
      <xdr:spPr>
        <a:xfrm>
          <a:off x="2514600" y="114300"/>
          <a:ext cx="364632" cy="3600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9525</xdr:colOff>
          <xdr:row>0</xdr:row>
          <xdr:rowOff>295275</xdr:rowOff>
        </xdr:from>
        <xdr:to>
          <xdr:col>4</xdr:col>
          <xdr:colOff>228600</xdr:colOff>
          <xdr:row>2</xdr:row>
          <xdr:rowOff>0</xdr:rowOff>
        </xdr:to>
        <xdr:sp macro="" textlink="">
          <xdr:nvSpPr>
            <xdr:cNvPr id="29697" name="Spinner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514350</xdr:colOff>
          <xdr:row>0</xdr:row>
          <xdr:rowOff>47625</xdr:rowOff>
        </xdr:from>
        <xdr:to>
          <xdr:col>19</xdr:col>
          <xdr:colOff>419100</xdr:colOff>
          <xdr:row>1</xdr:row>
          <xdr:rowOff>142875</xdr:rowOff>
        </xdr:to>
        <xdr:grpSp>
          <xdr:nvGrpSpPr>
            <xdr:cNvPr id="9" name="Group 8" hidden="1"/>
            <xdr:cNvGrpSpPr/>
          </xdr:nvGrpSpPr>
          <xdr:grpSpPr>
            <a:xfrm>
              <a:off x="6734175" y="47625"/>
              <a:ext cx="2543175" cy="400050"/>
              <a:chOff x="6686550" y="47625"/>
              <a:chExt cx="1000125" cy="400050"/>
            </a:xfrm>
          </xdr:grpSpPr>
          <xdr:sp macro="" textlink="">
            <xdr:nvSpPr>
              <xdr:cNvPr id="29717" name="Option Button 21" hidden="1">
                <a:extLst>
                  <a:ext uri="{63B3BB69-23CF-44E3-9099-C40C66FF867C}">
                    <a14:compatExt spid="_x0000_s29717"/>
                  </a:ext>
                </a:extLst>
              </xdr:cNvPr>
              <xdr:cNvSpPr/>
            </xdr:nvSpPr>
            <xdr:spPr bwMode="auto">
              <a:xfrm>
                <a:off x="6686550" y="47625"/>
                <a:ext cx="1000125" cy="20955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Originalt Bud</a:t>
                </a:r>
              </a:p>
            </xdr:txBody>
          </xdr:sp>
          <xdr:sp macro="" textlink="">
            <xdr:nvSpPr>
              <xdr:cNvPr id="29718" name="Option Button 22" hidden="1">
                <a:extLst>
                  <a:ext uri="{63B3BB69-23CF-44E3-9099-C40C66FF867C}">
                    <a14:compatExt spid="_x0000_s29718"/>
                  </a:ext>
                </a:extLst>
              </xdr:cNvPr>
              <xdr:cNvSpPr/>
            </xdr:nvSpPr>
            <xdr:spPr bwMode="auto">
              <a:xfrm>
                <a:off x="6686550" y="238125"/>
                <a:ext cx="1000125" cy="20955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Periodisert Bud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28575</xdr:rowOff>
        </xdr:from>
        <xdr:to>
          <xdr:col>3</xdr:col>
          <xdr:colOff>1219200</xdr:colOff>
          <xdr:row>15</xdr:row>
          <xdr:rowOff>361950</xdr:rowOff>
        </xdr:to>
        <xdr:sp macro="" textlink="">
          <xdr:nvSpPr>
            <xdr:cNvPr id="29778" name="Drop Down 82" hidden="1">
              <a:extLst>
                <a:ext uri="{63B3BB69-23CF-44E3-9099-C40C66FF867C}">
                  <a14:compatExt spid="_x0000_s29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0</xdr:colOff>
      <xdr:row>0</xdr:row>
      <xdr:rowOff>114300</xdr:rowOff>
    </xdr:from>
    <xdr:to>
      <xdr:col>6</xdr:col>
      <xdr:colOff>360000</xdr:colOff>
      <xdr:row>1</xdr:row>
      <xdr:rowOff>167846</xdr:rowOff>
    </xdr:to>
    <xdr:pic macro="[0]!regionTotalNy">
      <xdr:nvPicPr>
        <xdr:cNvPr id="17" name="Picture 16" descr="Refresh.gif"/>
        <xdr:cNvPicPr>
          <a:picLocks noChangeAspect="1"/>
        </xdr:cNvPicPr>
      </xdr:nvPicPr>
      <xdr:blipFill>
        <a:blip xmlns:r="http://schemas.openxmlformats.org/officeDocument/2006/relationships" r:embed="rId5" cstate="print"/>
        <a:srcRect l="28672" t="22559" r="28594" b="24219"/>
        <a:stretch>
          <a:fillRect/>
        </a:stretch>
      </xdr:blipFill>
      <xdr:spPr>
        <a:xfrm>
          <a:off x="2133600" y="114300"/>
          <a:ext cx="360000" cy="35834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95250</xdr:colOff>
          <xdr:row>0</xdr:row>
          <xdr:rowOff>276225</xdr:rowOff>
        </xdr:from>
        <xdr:to>
          <xdr:col>12</xdr:col>
          <xdr:colOff>19050</xdr:colOff>
          <xdr:row>1</xdr:row>
          <xdr:rowOff>190500</xdr:rowOff>
        </xdr:to>
        <xdr:sp macro="" textlink="">
          <xdr:nvSpPr>
            <xdr:cNvPr id="134613" name="Option Button 11" hidden="1">
              <a:extLst>
                <a:ext uri="{63B3BB69-23CF-44E3-9099-C40C66FF867C}">
                  <a14:compatExt spid="_x0000_s134613"/>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Segoe UI"/>
                  <a:cs typeface="Segoe UI"/>
                </a:rPr>
                <a:t>Hittil i år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0</xdr:row>
          <xdr:rowOff>28575</xdr:rowOff>
        </xdr:from>
        <xdr:to>
          <xdr:col>12</xdr:col>
          <xdr:colOff>9525</xdr:colOff>
          <xdr:row>0</xdr:row>
          <xdr:rowOff>247650</xdr:rowOff>
        </xdr:to>
        <xdr:sp macro="" textlink="">
          <xdr:nvSpPr>
            <xdr:cNvPr id="134650" name="Option Button 12" hidden="1">
              <a:extLst>
                <a:ext uri="{63B3BB69-23CF-44E3-9099-C40C66FF867C}">
                  <a14:compatExt spid="_x0000_s13465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Segoe UI"/>
                  <a:cs typeface="Segoe UI"/>
                </a:rPr>
                <a:t>Enkeltuke</a:t>
              </a:r>
            </a:p>
          </xdr:txBody>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295275</xdr:rowOff>
        </xdr:from>
        <xdr:to>
          <xdr:col>4</xdr:col>
          <xdr:colOff>228600</xdr:colOff>
          <xdr:row>2</xdr:row>
          <xdr:rowOff>0</xdr:rowOff>
        </xdr:to>
        <xdr:sp macro="" textlink="">
          <xdr:nvSpPr>
            <xdr:cNvPr id="3075" name="Spinner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57150</xdr:rowOff>
        </xdr:from>
        <xdr:to>
          <xdr:col>7</xdr:col>
          <xdr:colOff>142875</xdr:colOff>
          <xdr:row>0</xdr:row>
          <xdr:rowOff>266700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Hent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142875</xdr:colOff>
          <xdr:row>0</xdr:row>
          <xdr:rowOff>57150</xdr:rowOff>
        </xdr:from>
        <xdr:to>
          <xdr:col>9</xdr:col>
          <xdr:colOff>295275</xdr:colOff>
          <xdr:row>0</xdr:row>
          <xdr:rowOff>266700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4</xdr:col>
      <xdr:colOff>333375</xdr:colOff>
      <xdr:row>0</xdr:row>
      <xdr:rowOff>220466</xdr:rowOff>
    </xdr:from>
    <xdr:to>
      <xdr:col>5</xdr:col>
      <xdr:colOff>234441</xdr:colOff>
      <xdr:row>2</xdr:row>
      <xdr:rowOff>73987</xdr:rowOff>
    </xdr:to>
    <xdr:pic macro="[0]!GetAllStores_Super">
      <xdr:nvPicPr>
        <xdr:cNvPr id="2" name="Picture 1" descr="Refresh.gif"/>
        <xdr:cNvPicPr>
          <a:picLocks noChangeAspect="1"/>
        </xdr:cNvPicPr>
      </xdr:nvPicPr>
      <xdr:blipFill>
        <a:blip xmlns:r="http://schemas.openxmlformats.org/officeDocument/2006/relationships" r:embed="rId1" cstate="print"/>
        <a:srcRect l="28672" t="22559" r="28594" b="24219"/>
        <a:stretch>
          <a:fillRect/>
        </a:stretch>
      </xdr:blipFill>
      <xdr:spPr>
        <a:xfrm>
          <a:off x="2124075" y="220466"/>
          <a:ext cx="367791" cy="358346"/>
        </a:xfrm>
        <a:prstGeom prst="rect">
          <a:avLst/>
        </a:prstGeom>
      </xdr:spPr>
    </xdr:pic>
    <xdr:clientData/>
  </xdr:twoCellAnchor>
  <xdr:twoCellAnchor editAs="oneCell">
    <xdr:from>
      <xdr:col>5</xdr:col>
      <xdr:colOff>238125</xdr:colOff>
      <xdr:row>0</xdr:row>
      <xdr:rowOff>219075</xdr:rowOff>
    </xdr:from>
    <xdr:to>
      <xdr:col>5</xdr:col>
      <xdr:colOff>615052</xdr:colOff>
      <xdr:row>2</xdr:row>
      <xdr:rowOff>74250</xdr:rowOff>
    </xdr:to>
    <xdr:pic macro="[0]!login">
      <xdr:nvPicPr>
        <xdr:cNvPr id="3" name="Picture 2" descr="Settings.gif"/>
        <xdr:cNvPicPr>
          <a:picLocks noChangeAspect="1"/>
        </xdr:cNvPicPr>
      </xdr:nvPicPr>
      <xdr:blipFill>
        <a:blip xmlns:r="http://schemas.openxmlformats.org/officeDocument/2006/relationships" r:embed="rId2" cstate="print"/>
        <a:srcRect l="26441" t="21380" r="26864" b="23373"/>
        <a:stretch>
          <a:fillRect/>
        </a:stretch>
      </xdr:blipFill>
      <xdr:spPr>
        <a:xfrm>
          <a:off x="2495550" y="219075"/>
          <a:ext cx="376927" cy="3600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9525</xdr:colOff>
          <xdr:row>25</xdr:row>
          <xdr:rowOff>0</xdr:rowOff>
        </xdr:from>
        <xdr:to>
          <xdr:col>4</xdr:col>
          <xdr:colOff>219075</xdr:colOff>
          <xdr:row>25</xdr:row>
          <xdr:rowOff>0</xdr:rowOff>
        </xdr:to>
        <xdr:sp macro="" textlink="">
          <xdr:nvSpPr>
            <xdr:cNvPr id="12289" name="Spinner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285750</xdr:rowOff>
        </xdr:from>
        <xdr:to>
          <xdr:col>4</xdr:col>
          <xdr:colOff>228600</xdr:colOff>
          <xdr:row>2</xdr:row>
          <xdr:rowOff>9525</xdr:rowOff>
        </xdr:to>
        <xdr:sp macro="" textlink="">
          <xdr:nvSpPr>
            <xdr:cNvPr id="12292" name="Spinner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1</xdr:row>
          <xdr:rowOff>28575</xdr:rowOff>
        </xdr:from>
        <xdr:to>
          <xdr:col>22</xdr:col>
          <xdr:colOff>180975</xdr:colOff>
          <xdr:row>2</xdr:row>
          <xdr:rowOff>47625</xdr:rowOff>
        </xdr:to>
        <xdr:sp macro="" textlink="">
          <xdr:nvSpPr>
            <xdr:cNvPr id="12295" name="Option Button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Hittil i år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0</xdr:row>
          <xdr:rowOff>142875</xdr:rowOff>
        </xdr:from>
        <xdr:to>
          <xdr:col>22</xdr:col>
          <xdr:colOff>180975</xdr:colOff>
          <xdr:row>1</xdr:row>
          <xdr:rowOff>57150</xdr:rowOff>
        </xdr:to>
        <xdr:sp macro="" textlink="">
          <xdr:nvSpPr>
            <xdr:cNvPr id="12296" name="Option Button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En enkelt uke</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12</xdr:row>
          <xdr:rowOff>0</xdr:rowOff>
        </xdr:from>
        <xdr:to>
          <xdr:col>4</xdr:col>
          <xdr:colOff>219075</xdr:colOff>
          <xdr:row>12</xdr:row>
          <xdr:rowOff>0</xdr:rowOff>
        </xdr:to>
        <xdr:sp macro="" textlink="">
          <xdr:nvSpPr>
            <xdr:cNvPr id="20481" name="Spinner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285750</xdr:rowOff>
        </xdr:from>
        <xdr:to>
          <xdr:col>4</xdr:col>
          <xdr:colOff>228600</xdr:colOff>
          <xdr:row>2</xdr:row>
          <xdr:rowOff>9525</xdr:rowOff>
        </xdr:to>
        <xdr:sp macro="" textlink="">
          <xdr:nvSpPr>
            <xdr:cNvPr id="20482" name="Spinner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38100</xdr:rowOff>
        </xdr:from>
        <xdr:to>
          <xdr:col>3</xdr:col>
          <xdr:colOff>723900</xdr:colOff>
          <xdr:row>0</xdr:row>
          <xdr:rowOff>247650</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Hent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0</xdr:row>
          <xdr:rowOff>38100</xdr:rowOff>
        </xdr:from>
        <xdr:to>
          <xdr:col>4</xdr:col>
          <xdr:colOff>419100</xdr:colOff>
          <xdr:row>0</xdr:row>
          <xdr:rowOff>247650</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11</xdr:row>
          <xdr:rowOff>0</xdr:rowOff>
        </xdr:from>
        <xdr:to>
          <xdr:col>4</xdr:col>
          <xdr:colOff>219075</xdr:colOff>
          <xdr:row>11</xdr:row>
          <xdr:rowOff>0</xdr:rowOff>
        </xdr:to>
        <xdr:sp macro="" textlink="">
          <xdr:nvSpPr>
            <xdr:cNvPr id="19457" name="Spinner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285750</xdr:rowOff>
        </xdr:from>
        <xdr:to>
          <xdr:col>4</xdr:col>
          <xdr:colOff>228600</xdr:colOff>
          <xdr:row>2</xdr:row>
          <xdr:rowOff>9525</xdr:rowOff>
        </xdr:to>
        <xdr:sp macro="" textlink="">
          <xdr:nvSpPr>
            <xdr:cNvPr id="19458" name="Spinner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38100</xdr:rowOff>
        </xdr:from>
        <xdr:to>
          <xdr:col>3</xdr:col>
          <xdr:colOff>723900</xdr:colOff>
          <xdr:row>0</xdr:row>
          <xdr:rowOff>247650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Hent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0</xdr:row>
          <xdr:rowOff>38100</xdr:rowOff>
        </xdr:from>
        <xdr:to>
          <xdr:col>4</xdr:col>
          <xdr:colOff>419100</xdr:colOff>
          <xdr:row>0</xdr:row>
          <xdr:rowOff>247650</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1</xdr:row>
          <xdr:rowOff>9525</xdr:rowOff>
        </xdr:from>
        <xdr:to>
          <xdr:col>20</xdr:col>
          <xdr:colOff>209550</xdr:colOff>
          <xdr:row>2</xdr:row>
          <xdr:rowOff>28575</xdr:rowOff>
        </xdr:to>
        <xdr:sp macro="" textlink="">
          <xdr:nvSpPr>
            <xdr:cNvPr id="19463" name="Option Button 9" hidden="1">
              <a:extLst>
                <a:ext uri="{63B3BB69-23CF-44E3-9099-C40C66FF867C}">
                  <a14:compatExt spid="_x0000_s19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Hittil i år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0</xdr:row>
          <xdr:rowOff>152400</xdr:rowOff>
        </xdr:from>
        <xdr:to>
          <xdr:col>20</xdr:col>
          <xdr:colOff>209550</xdr:colOff>
          <xdr:row>1</xdr:row>
          <xdr:rowOff>66675</xdr:rowOff>
        </xdr:to>
        <xdr:sp macro="" textlink="">
          <xdr:nvSpPr>
            <xdr:cNvPr id="19464" name="Option Button 10" hidden="1">
              <a:extLst>
                <a:ext uri="{63B3BB69-23CF-44E3-9099-C40C66FF867C}">
                  <a14:compatExt spid="_x0000_s19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nb-NO" sz="800" b="0" i="0" u="none" strike="noStrike" baseline="0">
                  <a:solidFill>
                    <a:srgbClr val="000000"/>
                  </a:solidFill>
                  <a:latin typeface="Tahoma"/>
                  <a:ea typeface="Tahoma"/>
                  <a:cs typeface="Tahoma"/>
                </a:rPr>
                <a:t>En enkelt uke</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7</xdr:row>
          <xdr:rowOff>0</xdr:rowOff>
        </xdr:from>
        <xdr:to>
          <xdr:col>4</xdr:col>
          <xdr:colOff>219075</xdr:colOff>
          <xdr:row>7</xdr:row>
          <xdr:rowOff>0</xdr:rowOff>
        </xdr:to>
        <xdr:sp macro="" textlink="">
          <xdr:nvSpPr>
            <xdr:cNvPr id="21505" name="Spinner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285750</xdr:rowOff>
        </xdr:from>
        <xdr:to>
          <xdr:col>4</xdr:col>
          <xdr:colOff>228600</xdr:colOff>
          <xdr:row>2</xdr:row>
          <xdr:rowOff>9525</xdr:rowOff>
        </xdr:to>
        <xdr:sp macro="" textlink="">
          <xdr:nvSpPr>
            <xdr:cNvPr id="21506" name="Spinner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38100</xdr:rowOff>
        </xdr:from>
        <xdr:to>
          <xdr:col>3</xdr:col>
          <xdr:colOff>723900</xdr:colOff>
          <xdr:row>0</xdr:row>
          <xdr:rowOff>247650</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Hent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0</xdr:row>
          <xdr:rowOff>38100</xdr:rowOff>
        </xdr:from>
        <xdr:to>
          <xdr:col>4</xdr:col>
          <xdr:colOff>419100</xdr:colOff>
          <xdr:row>0</xdr:row>
          <xdr:rowOff>247650</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285750</xdr:rowOff>
        </xdr:from>
        <xdr:to>
          <xdr:col>4</xdr:col>
          <xdr:colOff>228600</xdr:colOff>
          <xdr:row>2</xdr:row>
          <xdr:rowOff>9525</xdr:rowOff>
        </xdr:to>
        <xdr:sp macro="" textlink="">
          <xdr:nvSpPr>
            <xdr:cNvPr id="13313" name="Spinner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57150</xdr:rowOff>
        </xdr:from>
        <xdr:to>
          <xdr:col>6</xdr:col>
          <xdr:colOff>152400</xdr:colOff>
          <xdr:row>0</xdr:row>
          <xdr:rowOff>266700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800" b="0" i="0" u="none" strike="noStrike" baseline="0">
                  <a:solidFill>
                    <a:srgbClr val="000000"/>
                  </a:solidFill>
                  <a:latin typeface="Calibri"/>
                </a:rPr>
                <a:t>Init Avd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57150</xdr:rowOff>
        </xdr:from>
        <xdr:to>
          <xdr:col>8</xdr:col>
          <xdr:colOff>304800</xdr:colOff>
          <xdr:row>0</xdr:row>
          <xdr:rowOff>266700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Calibri"/>
                </a:rPr>
                <a:t>Settings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1</xdr:colOff>
      <xdr:row>57</xdr:row>
      <xdr:rowOff>28574</xdr:rowOff>
    </xdr:from>
    <xdr:to>
      <xdr:col>23</xdr:col>
      <xdr:colOff>352425</xdr:colOff>
      <xdr:row>97</xdr:row>
      <xdr:rowOff>76199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97</xdr:row>
      <xdr:rowOff>95250</xdr:rowOff>
    </xdr:from>
    <xdr:to>
      <xdr:col>23</xdr:col>
      <xdr:colOff>352425</xdr:colOff>
      <xdr:row>125</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85725</xdr:colOff>
          <xdr:row>0</xdr:row>
          <xdr:rowOff>85725</xdr:rowOff>
        </xdr:from>
        <xdr:to>
          <xdr:col>7</xdr:col>
          <xdr:colOff>457200</xdr:colOff>
          <xdr:row>0</xdr:row>
          <xdr:rowOff>371475</xdr:rowOff>
        </xdr:to>
        <xdr:sp macro="" textlink="">
          <xdr:nvSpPr>
            <xdr:cNvPr id="49186" name="Button 34" hidden="1">
              <a:extLst>
                <a:ext uri="{63B3BB69-23CF-44E3-9099-C40C66FF867C}">
                  <a14:compatExt spid="_x0000_s491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1. Hent mine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0</xdr:row>
          <xdr:rowOff>85725</xdr:rowOff>
        </xdr:from>
        <xdr:to>
          <xdr:col>10</xdr:col>
          <xdr:colOff>495300</xdr:colOff>
          <xdr:row>0</xdr:row>
          <xdr:rowOff>371475</xdr:rowOff>
        </xdr:to>
        <xdr:sp macro="" textlink="">
          <xdr:nvSpPr>
            <xdr:cNvPr id="49187" name="Button 35" hidden="1">
              <a:extLst>
                <a:ext uri="{63B3BB69-23CF-44E3-9099-C40C66FF867C}">
                  <a14:compatExt spid="_x0000_s491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2. Kontroll-beregning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0</xdr:row>
          <xdr:rowOff>104775</xdr:rowOff>
        </xdr:from>
        <xdr:to>
          <xdr:col>14</xdr:col>
          <xdr:colOff>476250</xdr:colOff>
          <xdr:row>0</xdr:row>
          <xdr:rowOff>390525</xdr:rowOff>
        </xdr:to>
        <xdr:sp macro="" textlink="">
          <xdr:nvSpPr>
            <xdr:cNvPr id="49188" name="Button 36" hidden="1">
              <a:extLst>
                <a:ext uri="{63B3BB69-23CF-44E3-9099-C40C66FF867C}">
                  <a14:compatExt spid="_x0000_s491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3. Lever inn budsjett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xdr:col>
      <xdr:colOff>28575</xdr:colOff>
      <xdr:row>2</xdr:row>
      <xdr:rowOff>0</xdr:rowOff>
    </xdr:from>
    <xdr:to>
      <xdr:col>8</xdr:col>
      <xdr:colOff>152400</xdr:colOff>
      <xdr:row>15</xdr:row>
      <xdr:rowOff>123825</xdr:rowOff>
    </xdr:to>
    <xdr:sp macro="" textlink="">
      <xdr:nvSpPr>
        <xdr:cNvPr id="2" name="Rounded Rectangle 1"/>
        <xdr:cNvSpPr/>
      </xdr:nvSpPr>
      <xdr:spPr>
        <a:xfrm>
          <a:off x="638175" y="381000"/>
          <a:ext cx="4391025" cy="2705100"/>
        </a:xfrm>
        <a:prstGeom prst="roundRect">
          <a:avLst/>
        </a:prstGeom>
        <a:noFill/>
        <a:effectLst>
          <a:glow rad="228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nb-NO"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Dokument\Butikksjef\Eigil\&#216;K_GENERELT\hovedrapport_butikk_stor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bdeiro\Desktop\FokusX_AL.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orterte_svinntall"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ndata PiB"/>
      <sheetName val="Inndata Budsjett"/>
      <sheetName val="Inndata Lønn"/>
      <sheetName val="Inndata SAP"/>
      <sheetName val="Inndata_Dagsoms"/>
      <sheetName val="Innstilling"/>
      <sheetName val="dblønn"/>
      <sheetName val="Sheet1"/>
      <sheetName val="DB_DAGSOMS"/>
      <sheetName val="db_new"/>
      <sheetName val="db_bud"/>
      <sheetName val="Totaloversikt"/>
      <sheetName val="KEY KPI"/>
      <sheetName val="Sammenligning"/>
      <sheetName val="Oms&amp;Oms"/>
      <sheetName val="FokusFokus"/>
      <sheetName val="Innrapporteringsmal"/>
      <sheetName val="Svinn_Hiå"/>
      <sheetName val="Svinn_Mål"/>
      <sheetName val="Ledermøte MASTER"/>
      <sheetName val="Lønn"/>
      <sheetName val="Fravær"/>
      <sheetName val="Omsetning"/>
      <sheetName val="Svinn"/>
      <sheetName val="Svinn Akk"/>
      <sheetName val="Svinn Stacked"/>
      <sheetName val="Kunder"/>
      <sheetName val="Snitthandel"/>
      <sheetName val="Timer"/>
      <sheetName val="SvinnOgLønn"/>
      <sheetName val="Oppslagstavle"/>
      <sheetName val="OmsPrDag"/>
      <sheetName val="Svin pr Avd"/>
      <sheetName val="Ukeregnskap"/>
      <sheetName val="Analyse Brød"/>
      <sheetName val="Analyse Fisk"/>
      <sheetName val="Analyse BKjøtt"/>
      <sheetName val="Analyse Kjøtt"/>
      <sheetName val="Analyse Ost"/>
      <sheetName val="Analyse FGB"/>
      <sheetName val="Analyse Blomster"/>
      <sheetName val="Senter"/>
    </sheetNames>
    <sheetDataSet>
      <sheetData sheetId="0"/>
      <sheetData sheetId="1"/>
      <sheetData sheetId="2"/>
      <sheetData sheetId="3"/>
      <sheetData sheetId="4"/>
      <sheetData sheetId="5"/>
      <sheetData sheetId="6">
        <row r="1">
          <cell r="A1" t="str">
            <v>REFKOD</v>
          </cell>
          <cell r="B1" t="str">
            <v>År</v>
          </cell>
          <cell r="C1" t="str">
            <v>Uke</v>
          </cell>
          <cell r="D1" t="str">
            <v>Lønnskost</v>
          </cell>
          <cell r="E1" t="str">
            <v>Timer</v>
          </cell>
          <cell r="F1" t="str">
            <v>Frav#Tim</v>
          </cell>
          <cell r="G1" t="str">
            <v>Herav Ferie</v>
          </cell>
        </row>
        <row r="2">
          <cell r="A2" t="str">
            <v>2010-0</v>
          </cell>
          <cell r="B2">
            <v>2010</v>
          </cell>
          <cell r="C2">
            <v>0</v>
          </cell>
        </row>
        <row r="3">
          <cell r="A3" t="str">
            <v>2010-1</v>
          </cell>
          <cell r="B3">
            <v>2010</v>
          </cell>
          <cell r="C3">
            <v>1</v>
          </cell>
          <cell r="D3">
            <v>220001</v>
          </cell>
          <cell r="E3">
            <v>1093</v>
          </cell>
        </row>
        <row r="4">
          <cell r="A4" t="str">
            <v>2010-2</v>
          </cell>
          <cell r="B4">
            <v>2010</v>
          </cell>
          <cell r="C4">
            <v>2</v>
          </cell>
          <cell r="D4">
            <v>213918</v>
          </cell>
          <cell r="E4">
            <v>1076</v>
          </cell>
        </row>
        <row r="5">
          <cell r="A5" t="str">
            <v>2010-3</v>
          </cell>
          <cell r="B5">
            <v>2010</v>
          </cell>
          <cell r="C5">
            <v>3</v>
          </cell>
          <cell r="D5">
            <v>216579</v>
          </cell>
          <cell r="E5">
            <v>1075</v>
          </cell>
          <cell r="F5">
            <v>11.5</v>
          </cell>
        </row>
        <row r="6">
          <cell r="A6" t="str">
            <v>2010-4</v>
          </cell>
          <cell r="B6">
            <v>2010</v>
          </cell>
          <cell r="C6">
            <v>4</v>
          </cell>
          <cell r="D6">
            <v>217576</v>
          </cell>
          <cell r="E6">
            <v>1068</v>
          </cell>
          <cell r="F6">
            <v>36.5</v>
          </cell>
        </row>
        <row r="7">
          <cell r="A7" t="str">
            <v>2010-5</v>
          </cell>
          <cell r="B7">
            <v>2010</v>
          </cell>
          <cell r="C7">
            <v>5</v>
          </cell>
          <cell r="D7">
            <v>227929</v>
          </cell>
          <cell r="E7">
            <v>1150</v>
          </cell>
        </row>
        <row r="8">
          <cell r="A8" t="str">
            <v>2010-6</v>
          </cell>
          <cell r="B8">
            <v>2010</v>
          </cell>
          <cell r="C8">
            <v>6</v>
          </cell>
          <cell r="D8">
            <v>204473</v>
          </cell>
          <cell r="E8">
            <v>1021</v>
          </cell>
          <cell r="F8">
            <v>30</v>
          </cell>
        </row>
        <row r="9">
          <cell r="A9" t="str">
            <v>2010-7</v>
          </cell>
          <cell r="B9">
            <v>2010</v>
          </cell>
          <cell r="C9">
            <v>7</v>
          </cell>
          <cell r="D9">
            <v>219136</v>
          </cell>
          <cell r="E9">
            <v>1088</v>
          </cell>
          <cell r="F9">
            <v>22.5</v>
          </cell>
        </row>
        <row r="10">
          <cell r="A10" t="str">
            <v>2010-8</v>
          </cell>
          <cell r="B10">
            <v>2010</v>
          </cell>
          <cell r="C10">
            <v>8</v>
          </cell>
          <cell r="D10">
            <v>207989</v>
          </cell>
          <cell r="E10">
            <v>1031</v>
          </cell>
          <cell r="F10">
            <v>37.5</v>
          </cell>
        </row>
        <row r="11">
          <cell r="A11" t="str">
            <v>2010-9</v>
          </cell>
          <cell r="B11">
            <v>2010</v>
          </cell>
          <cell r="C11">
            <v>9</v>
          </cell>
          <cell r="D11">
            <v>216177</v>
          </cell>
          <cell r="E11">
            <v>1069</v>
          </cell>
          <cell r="F11">
            <v>26.33</v>
          </cell>
        </row>
        <row r="12">
          <cell r="A12" t="str">
            <v>2010-10</v>
          </cell>
          <cell r="B12">
            <v>2010</v>
          </cell>
          <cell r="C12">
            <v>10</v>
          </cell>
          <cell r="D12">
            <v>209869</v>
          </cell>
          <cell r="E12">
            <v>1041</v>
          </cell>
          <cell r="F12">
            <v>42.5</v>
          </cell>
        </row>
        <row r="13">
          <cell r="A13" t="str">
            <v>2010-11</v>
          </cell>
          <cell r="B13">
            <v>2010</v>
          </cell>
          <cell r="C13">
            <v>11</v>
          </cell>
          <cell r="D13">
            <v>222629</v>
          </cell>
          <cell r="E13">
            <v>1108</v>
          </cell>
          <cell r="F13">
            <v>95.5</v>
          </cell>
        </row>
        <row r="14">
          <cell r="A14" t="str">
            <v>2010-12</v>
          </cell>
          <cell r="B14">
            <v>2010</v>
          </cell>
          <cell r="C14">
            <v>12</v>
          </cell>
          <cell r="D14">
            <v>218039</v>
          </cell>
          <cell r="E14">
            <v>1087</v>
          </cell>
          <cell r="F14">
            <v>97.5</v>
          </cell>
        </row>
        <row r="15">
          <cell r="A15" t="str">
            <v>2010-13</v>
          </cell>
          <cell r="B15">
            <v>2010</v>
          </cell>
          <cell r="C15">
            <v>13</v>
          </cell>
          <cell r="D15">
            <v>352532</v>
          </cell>
          <cell r="E15">
            <v>1450</v>
          </cell>
        </row>
        <row r="16">
          <cell r="A16" t="str">
            <v>2010-14</v>
          </cell>
          <cell r="B16">
            <v>2010</v>
          </cell>
          <cell r="C16">
            <v>14</v>
          </cell>
          <cell r="D16">
            <v>200868</v>
          </cell>
          <cell r="E16">
            <v>977</v>
          </cell>
        </row>
        <row r="17">
          <cell r="A17" t="str">
            <v>2010-15</v>
          </cell>
          <cell r="B17">
            <v>2010</v>
          </cell>
          <cell r="C17">
            <v>15</v>
          </cell>
          <cell r="D17">
            <v>53687</v>
          </cell>
          <cell r="E17">
            <v>213</v>
          </cell>
          <cell r="F17">
            <v>15</v>
          </cell>
        </row>
        <row r="18">
          <cell r="A18" t="str">
            <v>2010-16</v>
          </cell>
          <cell r="B18">
            <v>2010</v>
          </cell>
          <cell r="C18">
            <v>16</v>
          </cell>
          <cell r="D18">
            <v>203103</v>
          </cell>
          <cell r="E18">
            <v>1002</v>
          </cell>
          <cell r="F18">
            <v>37.5</v>
          </cell>
        </row>
        <row r="19">
          <cell r="A19" t="str">
            <v>2010-17</v>
          </cell>
          <cell r="B19">
            <v>2010</v>
          </cell>
          <cell r="C19">
            <v>17</v>
          </cell>
          <cell r="D19">
            <v>222045</v>
          </cell>
          <cell r="E19">
            <v>1093</v>
          </cell>
          <cell r="F19">
            <v>37.5</v>
          </cell>
        </row>
        <row r="20">
          <cell r="A20" t="str">
            <v>2010-18</v>
          </cell>
          <cell r="B20">
            <v>2010</v>
          </cell>
          <cell r="C20">
            <v>18</v>
          </cell>
          <cell r="D20">
            <v>288476</v>
          </cell>
          <cell r="E20">
            <v>1366</v>
          </cell>
          <cell r="F20">
            <v>13.5</v>
          </cell>
        </row>
        <row r="21">
          <cell r="A21" t="str">
            <v>2010-19</v>
          </cell>
          <cell r="B21">
            <v>2010</v>
          </cell>
          <cell r="C21">
            <v>19</v>
          </cell>
          <cell r="D21">
            <v>317592</v>
          </cell>
          <cell r="E21">
            <v>1517</v>
          </cell>
        </row>
        <row r="22">
          <cell r="A22" t="str">
            <v>2010-20</v>
          </cell>
          <cell r="B22">
            <v>2010</v>
          </cell>
          <cell r="C22">
            <v>20</v>
          </cell>
          <cell r="D22">
            <v>277668</v>
          </cell>
          <cell r="E22">
            <v>1390</v>
          </cell>
          <cell r="F22">
            <v>28.5</v>
          </cell>
        </row>
        <row r="23">
          <cell r="A23" t="str">
            <v>2010-21</v>
          </cell>
          <cell r="B23">
            <v>2010</v>
          </cell>
          <cell r="C23">
            <v>21</v>
          </cell>
          <cell r="D23">
            <v>258867</v>
          </cell>
          <cell r="E23">
            <v>1295</v>
          </cell>
          <cell r="F23">
            <v>7.83</v>
          </cell>
        </row>
        <row r="24">
          <cell r="A24" t="str">
            <v>2010-22</v>
          </cell>
          <cell r="B24">
            <v>2010</v>
          </cell>
          <cell r="C24">
            <v>22</v>
          </cell>
          <cell r="D24">
            <v>369684</v>
          </cell>
          <cell r="E24">
            <v>1704</v>
          </cell>
          <cell r="F24">
            <v>13.5</v>
          </cell>
        </row>
        <row r="25">
          <cell r="A25" t="str">
            <v>2010-23</v>
          </cell>
          <cell r="B25">
            <v>2010</v>
          </cell>
          <cell r="C25">
            <v>23</v>
          </cell>
          <cell r="D25">
            <v>265625</v>
          </cell>
          <cell r="E25">
            <v>1365</v>
          </cell>
          <cell r="F25">
            <v>52.5</v>
          </cell>
        </row>
        <row r="26">
          <cell r="A26" t="str">
            <v>2010-24</v>
          </cell>
          <cell r="B26">
            <v>2010</v>
          </cell>
          <cell r="C26">
            <v>24</v>
          </cell>
          <cell r="D26">
            <v>286784</v>
          </cell>
          <cell r="E26">
            <v>1451</v>
          </cell>
          <cell r="F26">
            <v>88.25</v>
          </cell>
        </row>
        <row r="27">
          <cell r="A27" t="str">
            <v>2010-25</v>
          </cell>
          <cell r="B27">
            <v>2010</v>
          </cell>
          <cell r="C27">
            <v>25</v>
          </cell>
          <cell r="D27">
            <v>260361</v>
          </cell>
          <cell r="E27">
            <v>1406</v>
          </cell>
          <cell r="F27">
            <v>2.5</v>
          </cell>
        </row>
        <row r="28">
          <cell r="A28" t="str">
            <v>2010-26</v>
          </cell>
          <cell r="B28">
            <v>2010</v>
          </cell>
          <cell r="C28">
            <v>26</v>
          </cell>
          <cell r="D28">
            <v>244716</v>
          </cell>
          <cell r="E28">
            <v>1298</v>
          </cell>
        </row>
        <row r="29">
          <cell r="A29" t="str">
            <v>2010-27</v>
          </cell>
          <cell r="B29">
            <v>2010</v>
          </cell>
          <cell r="C29">
            <v>27</v>
          </cell>
          <cell r="D29">
            <v>233835</v>
          </cell>
          <cell r="E29">
            <v>1310</v>
          </cell>
        </row>
        <row r="30">
          <cell r="A30" t="str">
            <v>2010-28</v>
          </cell>
          <cell r="B30">
            <v>2010</v>
          </cell>
          <cell r="C30">
            <v>28</v>
          </cell>
          <cell r="D30">
            <v>244409</v>
          </cell>
          <cell r="E30">
            <v>1322</v>
          </cell>
          <cell r="F30">
            <v>27.5</v>
          </cell>
        </row>
        <row r="31">
          <cell r="A31" t="str">
            <v>2010-29</v>
          </cell>
          <cell r="B31">
            <v>2010</v>
          </cell>
          <cell r="C31">
            <v>29</v>
          </cell>
          <cell r="D31">
            <v>235958</v>
          </cell>
          <cell r="E31">
            <v>1203</v>
          </cell>
          <cell r="F31">
            <v>7.5</v>
          </cell>
        </row>
        <row r="32">
          <cell r="A32" t="str">
            <v>2010-30</v>
          </cell>
          <cell r="B32">
            <v>2010</v>
          </cell>
          <cell r="C32">
            <v>30</v>
          </cell>
          <cell r="D32">
            <v>240773</v>
          </cell>
          <cell r="E32">
            <v>1248</v>
          </cell>
        </row>
        <row r="33">
          <cell r="A33" t="str">
            <v>2010-31</v>
          </cell>
          <cell r="B33">
            <v>2010</v>
          </cell>
          <cell r="C33">
            <v>31</v>
          </cell>
          <cell r="D33">
            <v>244521</v>
          </cell>
          <cell r="E33">
            <v>1263</v>
          </cell>
          <cell r="F33">
            <v>7.5</v>
          </cell>
        </row>
        <row r="34">
          <cell r="A34" t="str">
            <v>2010-32</v>
          </cell>
          <cell r="B34">
            <v>2010</v>
          </cell>
          <cell r="C34">
            <v>32</v>
          </cell>
          <cell r="D34">
            <v>260210</v>
          </cell>
          <cell r="E34">
            <v>1387</v>
          </cell>
        </row>
        <row r="35">
          <cell r="A35" t="str">
            <v>2010-33</v>
          </cell>
          <cell r="B35">
            <v>2010</v>
          </cell>
          <cell r="C35">
            <v>33</v>
          </cell>
          <cell r="D35">
            <v>271757</v>
          </cell>
          <cell r="E35">
            <v>1408</v>
          </cell>
          <cell r="F35">
            <v>9.5</v>
          </cell>
        </row>
        <row r="36">
          <cell r="A36" t="str">
            <v>2010-34</v>
          </cell>
          <cell r="B36">
            <v>2010</v>
          </cell>
          <cell r="C36">
            <v>34</v>
          </cell>
          <cell r="D36">
            <v>275198</v>
          </cell>
          <cell r="E36">
            <v>1415</v>
          </cell>
          <cell r="F36">
            <v>15</v>
          </cell>
        </row>
        <row r="37">
          <cell r="A37" t="str">
            <v>2010-35</v>
          </cell>
          <cell r="B37">
            <v>2010</v>
          </cell>
          <cell r="C37">
            <v>35</v>
          </cell>
          <cell r="D37">
            <v>292567</v>
          </cell>
          <cell r="E37">
            <v>1503</v>
          </cell>
          <cell r="F37">
            <v>37.5</v>
          </cell>
        </row>
        <row r="38">
          <cell r="A38" t="str">
            <v>2010-36</v>
          </cell>
          <cell r="B38">
            <v>2010</v>
          </cell>
          <cell r="C38">
            <v>36</v>
          </cell>
          <cell r="D38">
            <v>292605</v>
          </cell>
          <cell r="E38">
            <v>1511</v>
          </cell>
          <cell r="F38">
            <v>22.5</v>
          </cell>
        </row>
        <row r="39">
          <cell r="A39" t="str">
            <v>2010-37</v>
          </cell>
          <cell r="B39">
            <v>2010</v>
          </cell>
          <cell r="C39">
            <v>37</v>
          </cell>
          <cell r="D39">
            <v>302018</v>
          </cell>
          <cell r="E39">
            <v>1550</v>
          </cell>
          <cell r="F39">
            <v>88.5</v>
          </cell>
        </row>
        <row r="40">
          <cell r="A40" t="str">
            <v>2010-38</v>
          </cell>
          <cell r="B40">
            <v>2010</v>
          </cell>
          <cell r="C40">
            <v>38</v>
          </cell>
          <cell r="D40">
            <v>296569</v>
          </cell>
          <cell r="E40">
            <v>1508</v>
          </cell>
          <cell r="F40">
            <v>113.16</v>
          </cell>
        </row>
        <row r="41">
          <cell r="A41" t="str">
            <v>2010-39</v>
          </cell>
          <cell r="B41">
            <v>2010</v>
          </cell>
          <cell r="C41">
            <v>39</v>
          </cell>
          <cell r="D41">
            <v>316381</v>
          </cell>
          <cell r="E41">
            <v>1620</v>
          </cell>
          <cell r="F41">
            <v>129</v>
          </cell>
        </row>
        <row r="42">
          <cell r="A42" t="str">
            <v>2010-40</v>
          </cell>
          <cell r="B42">
            <v>2010</v>
          </cell>
          <cell r="C42">
            <v>40</v>
          </cell>
          <cell r="D42">
            <v>280133</v>
          </cell>
          <cell r="E42">
            <v>1480</v>
          </cell>
          <cell r="F42">
            <v>72.5</v>
          </cell>
        </row>
        <row r="43">
          <cell r="A43" t="str">
            <v>2010-41</v>
          </cell>
          <cell r="B43">
            <v>2010</v>
          </cell>
          <cell r="C43">
            <v>41</v>
          </cell>
          <cell r="D43">
            <v>290713</v>
          </cell>
          <cell r="E43">
            <v>1495</v>
          </cell>
          <cell r="F43">
            <v>37.5</v>
          </cell>
        </row>
        <row r="44">
          <cell r="A44" t="str">
            <v>2010-42</v>
          </cell>
          <cell r="B44">
            <v>2010</v>
          </cell>
          <cell r="C44">
            <v>42</v>
          </cell>
          <cell r="D44">
            <v>277808</v>
          </cell>
          <cell r="E44">
            <v>1419</v>
          </cell>
          <cell r="F44">
            <v>52.5</v>
          </cell>
        </row>
        <row r="45">
          <cell r="A45" t="str">
            <v>2010-43</v>
          </cell>
          <cell r="B45">
            <v>2010</v>
          </cell>
          <cell r="C45">
            <v>43</v>
          </cell>
          <cell r="D45">
            <v>416605</v>
          </cell>
          <cell r="E45">
            <v>1877</v>
          </cell>
          <cell r="F45">
            <v>52.5</v>
          </cell>
        </row>
        <row r="46">
          <cell r="A46" t="str">
            <v>2010-44</v>
          </cell>
          <cell r="B46">
            <v>2010</v>
          </cell>
          <cell r="C46">
            <v>44</v>
          </cell>
          <cell r="D46">
            <v>284455</v>
          </cell>
          <cell r="E46">
            <v>1468</v>
          </cell>
          <cell r="F46">
            <v>59.5</v>
          </cell>
        </row>
        <row r="47">
          <cell r="A47" t="str">
            <v>2010-45</v>
          </cell>
          <cell r="B47">
            <v>2010</v>
          </cell>
          <cell r="C47">
            <v>45</v>
          </cell>
          <cell r="D47">
            <v>289108</v>
          </cell>
          <cell r="E47">
            <v>1473</v>
          </cell>
          <cell r="F47">
            <v>21</v>
          </cell>
        </row>
        <row r="48">
          <cell r="A48" t="str">
            <v>2010-46</v>
          </cell>
          <cell r="B48">
            <v>2010</v>
          </cell>
          <cell r="C48">
            <v>46</v>
          </cell>
          <cell r="D48">
            <v>288742</v>
          </cell>
          <cell r="E48">
            <v>1454</v>
          </cell>
          <cell r="F48">
            <v>50.5</v>
          </cell>
        </row>
        <row r="49">
          <cell r="A49" t="str">
            <v>2010-47</v>
          </cell>
          <cell r="B49">
            <v>2010</v>
          </cell>
          <cell r="C49">
            <v>47</v>
          </cell>
          <cell r="D49">
            <v>286440</v>
          </cell>
          <cell r="E49">
            <v>1457</v>
          </cell>
          <cell r="F49">
            <v>60</v>
          </cell>
        </row>
        <row r="50">
          <cell r="A50" t="str">
            <v>2010-48</v>
          </cell>
          <cell r="B50">
            <v>2010</v>
          </cell>
          <cell r="C50">
            <v>48</v>
          </cell>
          <cell r="D50">
            <v>323128</v>
          </cell>
          <cell r="E50">
            <v>1577</v>
          </cell>
          <cell r="F50">
            <v>61.5</v>
          </cell>
        </row>
        <row r="51">
          <cell r="A51" t="str">
            <v>2010-49</v>
          </cell>
          <cell r="B51">
            <v>2010</v>
          </cell>
          <cell r="C51">
            <v>49</v>
          </cell>
          <cell r="D51">
            <v>343794</v>
          </cell>
          <cell r="E51">
            <v>1648</v>
          </cell>
          <cell r="F51">
            <v>66</v>
          </cell>
        </row>
        <row r="52">
          <cell r="A52" t="str">
            <v>2010-50</v>
          </cell>
          <cell r="B52">
            <v>2010</v>
          </cell>
          <cell r="C52">
            <v>50</v>
          </cell>
          <cell r="D52">
            <v>406237</v>
          </cell>
          <cell r="E52">
            <v>1920</v>
          </cell>
          <cell r="F52">
            <v>67.5</v>
          </cell>
        </row>
        <row r="53">
          <cell r="A53" t="str">
            <v>2010-51</v>
          </cell>
          <cell r="B53">
            <v>2010</v>
          </cell>
          <cell r="C53">
            <v>51</v>
          </cell>
          <cell r="D53">
            <v>352244</v>
          </cell>
          <cell r="E53">
            <v>1880</v>
          </cell>
          <cell r="F53">
            <v>65</v>
          </cell>
        </row>
        <row r="54">
          <cell r="A54" t="str">
            <v>2010-52</v>
          </cell>
          <cell r="B54">
            <v>2010</v>
          </cell>
          <cell r="C54">
            <v>52</v>
          </cell>
          <cell r="D54">
            <v>325230</v>
          </cell>
          <cell r="E54">
            <v>1711</v>
          </cell>
          <cell r="F54">
            <v>72.5</v>
          </cell>
        </row>
        <row r="55">
          <cell r="A55" t="str">
            <v>2011-0</v>
          </cell>
          <cell r="B55">
            <v>2011</v>
          </cell>
          <cell r="C55">
            <v>0</v>
          </cell>
          <cell r="D55">
            <v>530000</v>
          </cell>
        </row>
        <row r="56">
          <cell r="A56" t="str">
            <v>2011-1</v>
          </cell>
          <cell r="B56">
            <v>2011</v>
          </cell>
          <cell r="C56">
            <v>1</v>
          </cell>
          <cell r="D56">
            <v>299969</v>
          </cell>
          <cell r="E56">
            <v>1528</v>
          </cell>
          <cell r="F56">
            <v>61</v>
          </cell>
        </row>
        <row r="57">
          <cell r="A57" t="str">
            <v>2011-2</v>
          </cell>
          <cell r="B57">
            <v>2011</v>
          </cell>
          <cell r="C57">
            <v>2</v>
          </cell>
          <cell r="D57">
            <v>278510</v>
          </cell>
          <cell r="E57">
            <v>1434</v>
          </cell>
          <cell r="F57">
            <v>52.5</v>
          </cell>
        </row>
        <row r="58">
          <cell r="A58" t="str">
            <v>2011-3</v>
          </cell>
          <cell r="B58">
            <v>2011</v>
          </cell>
          <cell r="C58">
            <v>3</v>
          </cell>
          <cell r="D58">
            <v>296906</v>
          </cell>
          <cell r="E58">
            <v>1488</v>
          </cell>
          <cell r="F58">
            <v>37.5</v>
          </cell>
        </row>
        <row r="59">
          <cell r="A59" t="str">
            <v>2011-4</v>
          </cell>
          <cell r="B59">
            <v>2011</v>
          </cell>
          <cell r="C59">
            <v>4</v>
          </cell>
          <cell r="D59">
            <v>285091</v>
          </cell>
          <cell r="E59">
            <v>1457</v>
          </cell>
          <cell r="F59">
            <v>45</v>
          </cell>
        </row>
        <row r="60">
          <cell r="A60" t="str">
            <v>2011-5</v>
          </cell>
          <cell r="B60">
            <v>2011</v>
          </cell>
          <cell r="C60">
            <v>5</v>
          </cell>
          <cell r="D60">
            <v>281128</v>
          </cell>
          <cell r="E60">
            <v>1445</v>
          </cell>
          <cell r="F60">
            <v>60</v>
          </cell>
        </row>
        <row r="61">
          <cell r="A61" t="str">
            <v>2011-6</v>
          </cell>
          <cell r="B61">
            <v>2011</v>
          </cell>
          <cell r="C61">
            <v>6</v>
          </cell>
          <cell r="D61">
            <v>294729</v>
          </cell>
          <cell r="E61">
            <v>1504</v>
          </cell>
          <cell r="F61">
            <v>53</v>
          </cell>
        </row>
        <row r="62">
          <cell r="A62" t="str">
            <v>2011-7</v>
          </cell>
          <cell r="B62">
            <v>2011</v>
          </cell>
          <cell r="C62">
            <v>7</v>
          </cell>
          <cell r="D62">
            <v>294782</v>
          </cell>
          <cell r="E62">
            <v>1511</v>
          </cell>
          <cell r="F62">
            <v>39.5</v>
          </cell>
        </row>
        <row r="63">
          <cell r="A63" t="str">
            <v>2011-8</v>
          </cell>
          <cell r="B63">
            <v>2011</v>
          </cell>
          <cell r="C63">
            <v>8</v>
          </cell>
          <cell r="D63">
            <v>280654</v>
          </cell>
          <cell r="E63">
            <v>1474</v>
          </cell>
          <cell r="F63">
            <v>30</v>
          </cell>
        </row>
        <row r="64">
          <cell r="A64" t="str">
            <v>2011-9</v>
          </cell>
          <cell r="B64">
            <v>2011</v>
          </cell>
          <cell r="C64">
            <v>9</v>
          </cell>
          <cell r="D64">
            <v>291788</v>
          </cell>
          <cell r="E64">
            <v>1513</v>
          </cell>
          <cell r="F64">
            <v>28</v>
          </cell>
        </row>
        <row r="65">
          <cell r="A65" t="str">
            <v>2011-10</v>
          </cell>
          <cell r="B65">
            <v>2011</v>
          </cell>
          <cell r="C65">
            <v>10</v>
          </cell>
          <cell r="D65">
            <v>316307</v>
          </cell>
          <cell r="E65">
            <v>1616</v>
          </cell>
          <cell r="F65">
            <v>88</v>
          </cell>
        </row>
        <row r="66">
          <cell r="A66" t="str">
            <v>2011-11</v>
          </cell>
          <cell r="B66">
            <v>2011</v>
          </cell>
          <cell r="C66">
            <v>11</v>
          </cell>
          <cell r="D66">
            <v>290863</v>
          </cell>
          <cell r="E66">
            <v>1462</v>
          </cell>
          <cell r="F66">
            <v>15</v>
          </cell>
        </row>
        <row r="67">
          <cell r="A67" t="str">
            <v>2011-12</v>
          </cell>
          <cell r="B67">
            <v>2011</v>
          </cell>
          <cell r="C67">
            <v>12</v>
          </cell>
          <cell r="D67">
            <v>271267</v>
          </cell>
          <cell r="E67">
            <v>1396</v>
          </cell>
          <cell r="F67">
            <v>15</v>
          </cell>
        </row>
        <row r="68">
          <cell r="A68" t="str">
            <v>2011-13</v>
          </cell>
          <cell r="B68">
            <v>2011</v>
          </cell>
          <cell r="C68">
            <v>13</v>
          </cell>
          <cell r="D68">
            <v>274504</v>
          </cell>
          <cell r="E68">
            <v>1387</v>
          </cell>
        </row>
        <row r="69">
          <cell r="A69" t="str">
            <v>2011-14</v>
          </cell>
          <cell r="B69">
            <v>2011</v>
          </cell>
          <cell r="C69">
            <v>14</v>
          </cell>
          <cell r="D69">
            <v>290133</v>
          </cell>
          <cell r="E69">
            <v>1417</v>
          </cell>
          <cell r="F69">
            <v>42.25</v>
          </cell>
        </row>
        <row r="70">
          <cell r="A70" t="str">
            <v>2011-15</v>
          </cell>
          <cell r="B70">
            <v>2011</v>
          </cell>
          <cell r="C70">
            <v>15</v>
          </cell>
          <cell r="D70">
            <v>299785</v>
          </cell>
          <cell r="E70">
            <v>1458</v>
          </cell>
          <cell r="F70">
            <v>10</v>
          </cell>
        </row>
        <row r="71">
          <cell r="A71" t="str">
            <v>2011-16</v>
          </cell>
          <cell r="B71">
            <v>2011</v>
          </cell>
          <cell r="C71">
            <v>16</v>
          </cell>
          <cell r="D71">
            <v>385589</v>
          </cell>
          <cell r="E71">
            <v>1619</v>
          </cell>
          <cell r="F71">
            <v>7.5</v>
          </cell>
        </row>
        <row r="72">
          <cell r="A72" t="str">
            <v>2011-17</v>
          </cell>
          <cell r="B72">
            <v>2011</v>
          </cell>
          <cell r="C72">
            <v>17</v>
          </cell>
          <cell r="D72">
            <v>285410</v>
          </cell>
          <cell r="E72">
            <v>1378</v>
          </cell>
          <cell r="F72">
            <v>15</v>
          </cell>
        </row>
        <row r="73">
          <cell r="A73" t="str">
            <v>2011-18</v>
          </cell>
          <cell r="B73">
            <v>2011</v>
          </cell>
          <cell r="C73">
            <v>18</v>
          </cell>
          <cell r="D73">
            <v>453196</v>
          </cell>
          <cell r="E73">
            <v>1973</v>
          </cell>
          <cell r="F73">
            <v>22.5</v>
          </cell>
        </row>
        <row r="74">
          <cell r="A74" t="str">
            <v>2011-19</v>
          </cell>
          <cell r="B74">
            <v>2011</v>
          </cell>
          <cell r="C74">
            <v>19</v>
          </cell>
          <cell r="D74">
            <v>307912</v>
          </cell>
          <cell r="E74">
            <v>1462</v>
          </cell>
          <cell r="F74">
            <v>30</v>
          </cell>
        </row>
        <row r="75">
          <cell r="A75" t="str">
            <v>2011-20</v>
          </cell>
          <cell r="B75">
            <v>2011</v>
          </cell>
          <cell r="C75">
            <v>20</v>
          </cell>
          <cell r="D75">
            <v>347581</v>
          </cell>
          <cell r="E75">
            <v>1693</v>
          </cell>
          <cell r="F75">
            <v>67.5</v>
          </cell>
        </row>
        <row r="76">
          <cell r="A76" t="str">
            <v>2011-21</v>
          </cell>
          <cell r="B76">
            <v>2011</v>
          </cell>
          <cell r="C76">
            <v>21</v>
          </cell>
          <cell r="D76">
            <v>295141</v>
          </cell>
          <cell r="E76">
            <v>1417</v>
          </cell>
          <cell r="F76">
            <v>22.5</v>
          </cell>
        </row>
        <row r="77">
          <cell r="A77" t="str">
            <v>2011-22</v>
          </cell>
          <cell r="B77">
            <v>2011</v>
          </cell>
          <cell r="C77">
            <v>22</v>
          </cell>
          <cell r="D77">
            <v>298332</v>
          </cell>
          <cell r="E77">
            <v>1431</v>
          </cell>
          <cell r="F77">
            <v>7.5</v>
          </cell>
        </row>
        <row r="78">
          <cell r="A78" t="str">
            <v>2011-23</v>
          </cell>
          <cell r="B78">
            <v>2011</v>
          </cell>
          <cell r="C78">
            <v>23</v>
          </cell>
          <cell r="D78">
            <v>298714</v>
          </cell>
          <cell r="E78">
            <v>1411</v>
          </cell>
          <cell r="F78">
            <v>7.5</v>
          </cell>
        </row>
        <row r="79">
          <cell r="A79" t="str">
            <v>2011-24</v>
          </cell>
          <cell r="B79">
            <v>2011</v>
          </cell>
          <cell r="C79">
            <v>24</v>
          </cell>
          <cell r="D79">
            <v>282372</v>
          </cell>
          <cell r="E79">
            <v>1338</v>
          </cell>
          <cell r="F79">
            <v>73</v>
          </cell>
        </row>
        <row r="80">
          <cell r="A80" t="str">
            <v>2011-25</v>
          </cell>
          <cell r="B80">
            <v>2011</v>
          </cell>
          <cell r="C80">
            <v>25</v>
          </cell>
          <cell r="D80">
            <v>291024</v>
          </cell>
          <cell r="E80">
            <v>1406</v>
          </cell>
          <cell r="F80">
            <v>27.5</v>
          </cell>
        </row>
        <row r="81">
          <cell r="A81" t="str">
            <v>2011-26</v>
          </cell>
          <cell r="B81">
            <v>2011</v>
          </cell>
          <cell r="C81">
            <v>26</v>
          </cell>
          <cell r="D81">
            <v>269862</v>
          </cell>
          <cell r="E81">
            <v>1274</v>
          </cell>
          <cell r="F81">
            <v>7.5</v>
          </cell>
        </row>
        <row r="82">
          <cell r="A82" t="str">
            <v>2011-27</v>
          </cell>
          <cell r="B82">
            <v>2011</v>
          </cell>
          <cell r="C82">
            <v>27</v>
          </cell>
          <cell r="D82">
            <v>249898</v>
          </cell>
          <cell r="E82">
            <v>1222</v>
          </cell>
          <cell r="F82">
            <v>7.5</v>
          </cell>
        </row>
        <row r="83">
          <cell r="A83" t="str">
            <v>2011-28</v>
          </cell>
          <cell r="B83">
            <v>2011</v>
          </cell>
          <cell r="C83">
            <v>28</v>
          </cell>
          <cell r="D83">
            <v>281231</v>
          </cell>
          <cell r="E83">
            <v>1366</v>
          </cell>
          <cell r="F83">
            <v>90</v>
          </cell>
        </row>
        <row r="84">
          <cell r="A84" t="str">
            <v>2011-29</v>
          </cell>
          <cell r="B84">
            <v>2011</v>
          </cell>
          <cell r="C84">
            <v>29</v>
          </cell>
          <cell r="D84">
            <v>271597</v>
          </cell>
          <cell r="E84">
            <v>1342.3</v>
          </cell>
          <cell r="F84">
            <v>118</v>
          </cell>
        </row>
        <row r="85">
          <cell r="A85" t="str">
            <v>2011-30</v>
          </cell>
          <cell r="B85">
            <v>2011</v>
          </cell>
          <cell r="C85">
            <v>30</v>
          </cell>
          <cell r="D85">
            <v>242185</v>
          </cell>
          <cell r="E85">
            <v>1217.2</v>
          </cell>
          <cell r="F85">
            <v>41.25</v>
          </cell>
        </row>
        <row r="86">
          <cell r="A86" t="str">
            <v>2011-31</v>
          </cell>
          <cell r="B86">
            <v>2011</v>
          </cell>
          <cell r="C86">
            <v>31</v>
          </cell>
          <cell r="D86">
            <v>270776</v>
          </cell>
          <cell r="E86">
            <v>1314.7</v>
          </cell>
        </row>
        <row r="87">
          <cell r="A87" t="str">
            <v>2011-32</v>
          </cell>
          <cell r="B87">
            <v>2011</v>
          </cell>
          <cell r="C87">
            <v>32</v>
          </cell>
          <cell r="D87">
            <v>267947</v>
          </cell>
          <cell r="E87">
            <v>1262.5</v>
          </cell>
          <cell r="F87">
            <v>52.5</v>
          </cell>
        </row>
        <row r="88">
          <cell r="A88" t="str">
            <v>2011-33</v>
          </cell>
          <cell r="B88">
            <v>2011</v>
          </cell>
          <cell r="C88">
            <v>33</v>
          </cell>
          <cell r="D88">
            <v>292271</v>
          </cell>
          <cell r="E88">
            <v>1400</v>
          </cell>
          <cell r="F88">
            <v>43</v>
          </cell>
        </row>
        <row r="89">
          <cell r="A89" t="str">
            <v>2011-34</v>
          </cell>
          <cell r="B89">
            <v>2011</v>
          </cell>
          <cell r="C89">
            <v>34</v>
          </cell>
          <cell r="D89">
            <v>271326</v>
          </cell>
          <cell r="E89">
            <v>1285.0999999999999</v>
          </cell>
          <cell r="F89">
            <v>60.5</v>
          </cell>
        </row>
        <row r="90">
          <cell r="A90" t="str">
            <v>2011-35</v>
          </cell>
          <cell r="B90">
            <v>2011</v>
          </cell>
          <cell r="C90">
            <v>35</v>
          </cell>
          <cell r="D90">
            <v>296098</v>
          </cell>
          <cell r="E90">
            <v>1372</v>
          </cell>
          <cell r="F90">
            <v>117</v>
          </cell>
        </row>
        <row r="91">
          <cell r="A91" t="str">
            <v>2011-36</v>
          </cell>
          <cell r="B91">
            <v>2011</v>
          </cell>
          <cell r="C91">
            <v>36</v>
          </cell>
          <cell r="D91">
            <v>305672</v>
          </cell>
          <cell r="E91">
            <v>1435</v>
          </cell>
          <cell r="F91">
            <v>72.5</v>
          </cell>
        </row>
        <row r="92">
          <cell r="A92" t="str">
            <v>2011-37</v>
          </cell>
          <cell r="B92">
            <v>2011</v>
          </cell>
          <cell r="C92">
            <v>37</v>
          </cell>
          <cell r="D92">
            <v>288430</v>
          </cell>
          <cell r="E92">
            <v>1350</v>
          </cell>
          <cell r="F92">
            <v>77.5</v>
          </cell>
        </row>
        <row r="93">
          <cell r="A93" t="str">
            <v>2011-38</v>
          </cell>
          <cell r="B93">
            <v>2011</v>
          </cell>
          <cell r="C93">
            <v>38</v>
          </cell>
          <cell r="D93">
            <v>271310</v>
          </cell>
          <cell r="E93">
            <v>1263</v>
          </cell>
          <cell r="F93">
            <v>47.5</v>
          </cell>
        </row>
        <row r="94">
          <cell r="A94" t="str">
            <v>2011-39</v>
          </cell>
          <cell r="B94">
            <v>2011</v>
          </cell>
          <cell r="C94">
            <v>39</v>
          </cell>
          <cell r="D94">
            <v>282395</v>
          </cell>
          <cell r="E94">
            <v>1306</v>
          </cell>
          <cell r="F94">
            <v>0</v>
          </cell>
        </row>
        <row r="95">
          <cell r="A95" t="str">
            <v>2011-40</v>
          </cell>
          <cell r="B95">
            <v>2011</v>
          </cell>
          <cell r="C95">
            <v>40</v>
          </cell>
          <cell r="D95">
            <v>258133</v>
          </cell>
          <cell r="E95">
            <v>1224</v>
          </cell>
          <cell r="F95">
            <v>3.5</v>
          </cell>
        </row>
        <row r="96">
          <cell r="A96" t="str">
            <v>2011-41</v>
          </cell>
          <cell r="B96">
            <v>2011</v>
          </cell>
          <cell r="C96">
            <v>41</v>
          </cell>
          <cell r="D96">
            <v>282807</v>
          </cell>
          <cell r="E96">
            <v>1277.7</v>
          </cell>
          <cell r="F96">
            <v>32</v>
          </cell>
        </row>
        <row r="97">
          <cell r="A97" t="str">
            <v>2011-42</v>
          </cell>
          <cell r="B97">
            <v>2011</v>
          </cell>
          <cell r="C97">
            <v>42</v>
          </cell>
          <cell r="D97">
            <v>259461</v>
          </cell>
          <cell r="E97">
            <v>1208</v>
          </cell>
          <cell r="F97">
            <v>30</v>
          </cell>
        </row>
        <row r="98">
          <cell r="A98" t="str">
            <v>2011-43</v>
          </cell>
          <cell r="B98">
            <v>2011</v>
          </cell>
          <cell r="C98">
            <v>43</v>
          </cell>
          <cell r="D98">
            <v>277270</v>
          </cell>
          <cell r="E98">
            <v>1293</v>
          </cell>
          <cell r="F98">
            <v>37.5</v>
          </cell>
        </row>
        <row r="99">
          <cell r="A99" t="str">
            <v>2011-44</v>
          </cell>
          <cell r="B99">
            <v>2011</v>
          </cell>
          <cell r="C99">
            <v>44</v>
          </cell>
          <cell r="D99">
            <v>335388</v>
          </cell>
          <cell r="E99">
            <v>1468</v>
          </cell>
          <cell r="F99">
            <v>15</v>
          </cell>
        </row>
        <row r="100">
          <cell r="A100" t="str">
            <v>2011-45</v>
          </cell>
          <cell r="B100">
            <v>2011</v>
          </cell>
          <cell r="C100">
            <v>45</v>
          </cell>
          <cell r="D100">
            <v>285902</v>
          </cell>
          <cell r="E100">
            <v>1319</v>
          </cell>
          <cell r="F100">
            <v>37.5</v>
          </cell>
        </row>
        <row r="101">
          <cell r="A101" t="str">
            <v>2011-46</v>
          </cell>
          <cell r="B101">
            <v>2011</v>
          </cell>
          <cell r="C101">
            <v>46</v>
          </cell>
          <cell r="D101">
            <v>279585</v>
          </cell>
          <cell r="E101">
            <v>1310</v>
          </cell>
          <cell r="F101">
            <v>18.75</v>
          </cell>
        </row>
        <row r="102">
          <cell r="A102" t="str">
            <v>2011-47</v>
          </cell>
          <cell r="B102">
            <v>2011</v>
          </cell>
          <cell r="C102">
            <v>47</v>
          </cell>
          <cell r="D102">
            <v>272605</v>
          </cell>
          <cell r="E102">
            <v>1248.7</v>
          </cell>
          <cell r="F102">
            <v>18.75</v>
          </cell>
        </row>
        <row r="103">
          <cell r="A103" t="str">
            <v>2011-48</v>
          </cell>
          <cell r="B103">
            <v>2011</v>
          </cell>
          <cell r="C103">
            <v>48</v>
          </cell>
          <cell r="D103">
            <v>294160</v>
          </cell>
          <cell r="E103">
            <v>1338</v>
          </cell>
          <cell r="F103">
            <v>27.5</v>
          </cell>
        </row>
        <row r="104">
          <cell r="A104" t="str">
            <v>2011-49</v>
          </cell>
          <cell r="B104">
            <v>2011</v>
          </cell>
          <cell r="C104">
            <v>49</v>
          </cell>
          <cell r="D104">
            <v>340954</v>
          </cell>
          <cell r="E104">
            <v>1501</v>
          </cell>
          <cell r="F104">
            <v>16</v>
          </cell>
        </row>
        <row r="105">
          <cell r="A105" t="str">
            <v>2011-50</v>
          </cell>
          <cell r="B105">
            <v>2011</v>
          </cell>
          <cell r="C105">
            <v>50</v>
          </cell>
          <cell r="D105">
            <v>374488</v>
          </cell>
          <cell r="E105">
            <v>1641</v>
          </cell>
          <cell r="F105">
            <v>30</v>
          </cell>
        </row>
        <row r="106">
          <cell r="A106" t="str">
            <v>2011-51</v>
          </cell>
          <cell r="B106">
            <v>2011</v>
          </cell>
          <cell r="C106">
            <v>51</v>
          </cell>
          <cell r="D106">
            <v>365948</v>
          </cell>
          <cell r="E106">
            <v>1749</v>
          </cell>
          <cell r="F106">
            <v>67.5</v>
          </cell>
        </row>
        <row r="107">
          <cell r="A107" t="str">
            <v>2011-52</v>
          </cell>
          <cell r="B107">
            <v>2011</v>
          </cell>
          <cell r="C107">
            <v>52</v>
          </cell>
          <cell r="D107">
            <v>295235</v>
          </cell>
          <cell r="E107">
            <v>1391.6</v>
          </cell>
          <cell r="F107">
            <v>75</v>
          </cell>
        </row>
        <row r="108">
          <cell r="A108" t="str">
            <v>2012-1</v>
          </cell>
          <cell r="B108">
            <v>2012</v>
          </cell>
          <cell r="C108">
            <v>1</v>
          </cell>
          <cell r="D108">
            <v>272355</v>
          </cell>
          <cell r="E108">
            <v>1274</v>
          </cell>
          <cell r="F108">
            <v>49.5</v>
          </cell>
        </row>
        <row r="109">
          <cell r="A109" t="str">
            <v>2012-2</v>
          </cell>
          <cell r="B109">
            <v>2012</v>
          </cell>
          <cell r="C109">
            <v>2</v>
          </cell>
          <cell r="D109">
            <v>281139</v>
          </cell>
          <cell r="E109">
            <v>1314.2</v>
          </cell>
          <cell r="F109">
            <v>42.5</v>
          </cell>
        </row>
        <row r="110">
          <cell r="A110" t="str">
            <v>2012-3</v>
          </cell>
          <cell r="B110">
            <v>2012</v>
          </cell>
          <cell r="C110">
            <v>3</v>
          </cell>
          <cell r="D110">
            <v>281704</v>
          </cell>
          <cell r="E110">
            <v>1305.9000000000001</v>
          </cell>
          <cell r="F110">
            <v>50.5</v>
          </cell>
        </row>
        <row r="111">
          <cell r="A111" t="str">
            <v>2012-4</v>
          </cell>
          <cell r="B111">
            <v>2012</v>
          </cell>
          <cell r="C111">
            <v>4</v>
          </cell>
          <cell r="D111">
            <v>289081</v>
          </cell>
          <cell r="E111">
            <v>1347.8</v>
          </cell>
          <cell r="F111">
            <v>81.5</v>
          </cell>
        </row>
        <row r="112">
          <cell r="A112" t="str">
            <v>2012-5</v>
          </cell>
          <cell r="B112">
            <v>2012</v>
          </cell>
          <cell r="C112">
            <v>5</v>
          </cell>
          <cell r="D112">
            <v>282959</v>
          </cell>
          <cell r="E112">
            <v>1327.7</v>
          </cell>
          <cell r="F112">
            <v>37.5</v>
          </cell>
          <cell r="G112">
            <v>0</v>
          </cell>
        </row>
        <row r="113">
          <cell r="A113" t="str">
            <v>2012-6</v>
          </cell>
          <cell r="B113">
            <v>2012</v>
          </cell>
          <cell r="C113">
            <v>6</v>
          </cell>
          <cell r="D113">
            <v>286369</v>
          </cell>
          <cell r="E113">
            <v>1336.8</v>
          </cell>
          <cell r="F113">
            <v>45</v>
          </cell>
        </row>
        <row r="114">
          <cell r="A114" t="str">
            <v>2012-7</v>
          </cell>
          <cell r="B114">
            <v>2012</v>
          </cell>
          <cell r="C114">
            <v>7</v>
          </cell>
          <cell r="D114">
            <v>289444</v>
          </cell>
          <cell r="E114">
            <v>1377.3</v>
          </cell>
          <cell r="F114">
            <v>75</v>
          </cell>
        </row>
        <row r="115">
          <cell r="A115" t="str">
            <v>2012-8</v>
          </cell>
          <cell r="B115">
            <v>2012</v>
          </cell>
          <cell r="C115">
            <v>8</v>
          </cell>
          <cell r="D115">
            <v>286101</v>
          </cell>
          <cell r="E115">
            <v>1361.5</v>
          </cell>
          <cell r="F115">
            <v>45</v>
          </cell>
        </row>
        <row r="116">
          <cell r="A116" t="str">
            <v>2012-9</v>
          </cell>
          <cell r="B116">
            <v>2012</v>
          </cell>
          <cell r="C116">
            <v>9</v>
          </cell>
          <cell r="D116">
            <v>293843</v>
          </cell>
          <cell r="E116">
            <v>1390.9</v>
          </cell>
          <cell r="F116">
            <v>52.5</v>
          </cell>
        </row>
        <row r="117">
          <cell r="A117" t="str">
            <v>2012-10</v>
          </cell>
          <cell r="B117">
            <v>2012</v>
          </cell>
          <cell r="C117">
            <v>10</v>
          </cell>
          <cell r="D117">
            <v>294770</v>
          </cell>
          <cell r="E117">
            <v>1367</v>
          </cell>
          <cell r="F117">
            <v>91.5</v>
          </cell>
        </row>
        <row r="118">
          <cell r="A118" t="str">
            <v>2012-11</v>
          </cell>
          <cell r="B118">
            <v>2012</v>
          </cell>
          <cell r="C118">
            <v>11</v>
          </cell>
          <cell r="D118">
            <v>296779</v>
          </cell>
          <cell r="E118">
            <v>1339.4</v>
          </cell>
          <cell r="F118">
            <v>32.5</v>
          </cell>
        </row>
        <row r="119">
          <cell r="A119" t="str">
            <v>2012-12</v>
          </cell>
          <cell r="B119">
            <v>2012</v>
          </cell>
          <cell r="C119">
            <v>12</v>
          </cell>
          <cell r="D119">
            <v>303588</v>
          </cell>
          <cell r="E119">
            <v>1373.2</v>
          </cell>
          <cell r="F119">
            <v>30</v>
          </cell>
        </row>
        <row r="120">
          <cell r="A120" t="str">
            <v>2012-13</v>
          </cell>
          <cell r="B120">
            <v>2012</v>
          </cell>
          <cell r="C120">
            <v>13</v>
          </cell>
          <cell r="D120">
            <v>287783</v>
          </cell>
          <cell r="E120">
            <v>1300.9000000000001</v>
          </cell>
          <cell r="F120">
            <v>0</v>
          </cell>
        </row>
        <row r="121">
          <cell r="A121" t="str">
            <v>2012-14</v>
          </cell>
          <cell r="B121">
            <v>2012</v>
          </cell>
          <cell r="C121">
            <v>14</v>
          </cell>
          <cell r="D121">
            <v>310982</v>
          </cell>
          <cell r="E121">
            <v>1343.4</v>
          </cell>
        </row>
        <row r="122">
          <cell r="A122" t="str">
            <v>2012-15</v>
          </cell>
          <cell r="B122">
            <v>2012</v>
          </cell>
          <cell r="C122">
            <v>15</v>
          </cell>
          <cell r="D122">
            <v>300705</v>
          </cell>
          <cell r="E122">
            <v>1349.5</v>
          </cell>
          <cell r="F122">
            <v>7.5</v>
          </cell>
        </row>
        <row r="123">
          <cell r="A123" t="str">
            <v>2012-16</v>
          </cell>
          <cell r="B123">
            <v>2012</v>
          </cell>
          <cell r="C123">
            <v>16</v>
          </cell>
          <cell r="D123">
            <v>290449</v>
          </cell>
          <cell r="E123">
            <v>1306</v>
          </cell>
          <cell r="F123">
            <v>0</v>
          </cell>
        </row>
        <row r="124">
          <cell r="A124" t="str">
            <v>2012-17</v>
          </cell>
          <cell r="B124">
            <v>2012</v>
          </cell>
          <cell r="C124">
            <v>17</v>
          </cell>
          <cell r="D124">
            <v>272852</v>
          </cell>
          <cell r="E124">
            <v>1236.5</v>
          </cell>
          <cell r="F124">
            <v>30</v>
          </cell>
        </row>
        <row r="125">
          <cell r="A125" t="str">
            <v>2012-18</v>
          </cell>
          <cell r="B125">
            <v>2012</v>
          </cell>
          <cell r="C125">
            <v>18</v>
          </cell>
          <cell r="D125">
            <v>340060</v>
          </cell>
          <cell r="E125">
            <v>1449.3</v>
          </cell>
          <cell r="F125">
            <v>34.5</v>
          </cell>
        </row>
        <row r="126">
          <cell r="A126" t="str">
            <v>2012-19</v>
          </cell>
          <cell r="B126">
            <v>2012</v>
          </cell>
          <cell r="C126">
            <v>19</v>
          </cell>
          <cell r="D126">
            <v>286603</v>
          </cell>
          <cell r="E126">
            <v>1302</v>
          </cell>
          <cell r="F126">
            <v>27.5</v>
          </cell>
        </row>
        <row r="127">
          <cell r="A127" t="str">
            <v>2012-20</v>
          </cell>
          <cell r="B127">
            <v>2012</v>
          </cell>
          <cell r="C127">
            <v>20</v>
          </cell>
          <cell r="D127">
            <v>313347</v>
          </cell>
          <cell r="E127">
            <v>1422</v>
          </cell>
          <cell r="F127">
            <v>30</v>
          </cell>
        </row>
        <row r="128">
          <cell r="A128" t="str">
            <v>2012-21</v>
          </cell>
          <cell r="B128">
            <v>2012</v>
          </cell>
          <cell r="C128">
            <v>21</v>
          </cell>
          <cell r="D128">
            <v>277802</v>
          </cell>
          <cell r="E128">
            <v>1223.8</v>
          </cell>
        </row>
        <row r="129">
          <cell r="A129" t="str">
            <v>2012-22</v>
          </cell>
          <cell r="B129">
            <v>2012</v>
          </cell>
          <cell r="C129">
            <v>22</v>
          </cell>
          <cell r="D129">
            <v>276160</v>
          </cell>
          <cell r="E129">
            <v>1266.7</v>
          </cell>
          <cell r="F129">
            <v>35.75</v>
          </cell>
        </row>
        <row r="130">
          <cell r="A130" t="str">
            <v>2012-23</v>
          </cell>
          <cell r="B130">
            <v>2012</v>
          </cell>
          <cell r="C130">
            <v>23</v>
          </cell>
          <cell r="D130">
            <v>262216</v>
          </cell>
          <cell r="E130">
            <v>1195</v>
          </cell>
          <cell r="F130">
            <v>37.5</v>
          </cell>
        </row>
        <row r="131">
          <cell r="A131" t="str">
            <v>2012-24</v>
          </cell>
          <cell r="B131">
            <v>2012</v>
          </cell>
          <cell r="C131">
            <v>24</v>
          </cell>
          <cell r="D131">
            <v>259445</v>
          </cell>
          <cell r="E131">
            <v>1190</v>
          </cell>
          <cell r="F131">
            <v>57.5</v>
          </cell>
        </row>
        <row r="132">
          <cell r="A132" t="str">
            <v>2012-25</v>
          </cell>
          <cell r="B132">
            <v>2012</v>
          </cell>
          <cell r="C132">
            <v>25</v>
          </cell>
          <cell r="D132">
            <v>265050</v>
          </cell>
          <cell r="E132">
            <v>1225</v>
          </cell>
          <cell r="F132">
            <v>37.5</v>
          </cell>
        </row>
        <row r="133">
          <cell r="A133" t="str">
            <v>2012-26</v>
          </cell>
          <cell r="B133">
            <v>2012</v>
          </cell>
          <cell r="C133">
            <v>26</v>
          </cell>
          <cell r="D133">
            <v>272419</v>
          </cell>
          <cell r="E133">
            <v>1196</v>
          </cell>
        </row>
        <row r="134">
          <cell r="A134" t="str">
            <v>2012-27</v>
          </cell>
          <cell r="B134">
            <v>2012</v>
          </cell>
          <cell r="C134">
            <v>27</v>
          </cell>
          <cell r="D134">
            <v>235945</v>
          </cell>
          <cell r="E134">
            <v>1072</v>
          </cell>
        </row>
        <row r="135">
          <cell r="A135" t="str">
            <v>2012-28</v>
          </cell>
          <cell r="B135">
            <v>2012</v>
          </cell>
          <cell r="C135">
            <v>28</v>
          </cell>
          <cell r="D135">
            <v>230903</v>
          </cell>
          <cell r="E135">
            <v>1039.5</v>
          </cell>
          <cell r="F135">
            <v>12</v>
          </cell>
        </row>
        <row r="136">
          <cell r="A136" t="str">
            <v>2012-29</v>
          </cell>
          <cell r="B136">
            <v>2012</v>
          </cell>
          <cell r="C136">
            <v>29</v>
          </cell>
          <cell r="D136">
            <v>253409</v>
          </cell>
          <cell r="E136">
            <v>1187</v>
          </cell>
          <cell r="F136">
            <v>99</v>
          </cell>
        </row>
        <row r="137">
          <cell r="A137" t="str">
            <v>2012-30</v>
          </cell>
          <cell r="B137">
            <v>2012</v>
          </cell>
          <cell r="C137">
            <v>30</v>
          </cell>
          <cell r="D137">
            <v>268957</v>
          </cell>
          <cell r="E137">
            <v>1195.9000000000001</v>
          </cell>
          <cell r="F137">
            <v>104</v>
          </cell>
        </row>
        <row r="138">
          <cell r="A138" t="str">
            <v>2012-31</v>
          </cell>
          <cell r="B138">
            <v>2012</v>
          </cell>
          <cell r="C138">
            <v>31</v>
          </cell>
          <cell r="D138">
            <v>264880</v>
          </cell>
          <cell r="E138">
            <v>1193</v>
          </cell>
          <cell r="F138">
            <v>60.5</v>
          </cell>
        </row>
        <row r="139">
          <cell r="A139" t="str">
            <v>2012-32</v>
          </cell>
          <cell r="B139">
            <v>2012</v>
          </cell>
          <cell r="C139">
            <v>32</v>
          </cell>
          <cell r="D139">
            <v>271556</v>
          </cell>
          <cell r="E139">
            <v>1229.7</v>
          </cell>
          <cell r="F139">
            <v>8</v>
          </cell>
        </row>
        <row r="140">
          <cell r="A140" t="str">
            <v>2012-33</v>
          </cell>
          <cell r="B140">
            <v>2012</v>
          </cell>
          <cell r="C140">
            <v>33</v>
          </cell>
          <cell r="D140">
            <v>296357</v>
          </cell>
          <cell r="E140">
            <v>1334</v>
          </cell>
          <cell r="F140">
            <v>0</v>
          </cell>
        </row>
        <row r="141">
          <cell r="A141" t="str">
            <v>2012-34</v>
          </cell>
          <cell r="B141">
            <v>2012</v>
          </cell>
          <cell r="C141">
            <v>34</v>
          </cell>
          <cell r="D141">
            <v>269061</v>
          </cell>
          <cell r="E141">
            <v>1207</v>
          </cell>
          <cell r="F141">
            <v>0</v>
          </cell>
        </row>
        <row r="142">
          <cell r="A142" t="str">
            <v>2012-35</v>
          </cell>
          <cell r="B142">
            <v>2012</v>
          </cell>
          <cell r="C142">
            <v>35</v>
          </cell>
          <cell r="D142">
            <v>268661</v>
          </cell>
          <cell r="E142">
            <v>1178</v>
          </cell>
          <cell r="F142">
            <v>0</v>
          </cell>
        </row>
        <row r="143">
          <cell r="A143" t="str">
            <v>2012-36</v>
          </cell>
          <cell r="B143">
            <v>2012</v>
          </cell>
          <cell r="C143">
            <v>36</v>
          </cell>
          <cell r="D143">
            <v>270920</v>
          </cell>
          <cell r="E143">
            <v>1198.2</v>
          </cell>
          <cell r="F143">
            <v>0</v>
          </cell>
        </row>
        <row r="144">
          <cell r="A144" t="str">
            <v>2012-37</v>
          </cell>
          <cell r="B144">
            <v>2012</v>
          </cell>
          <cell r="C144">
            <v>37</v>
          </cell>
          <cell r="D144">
            <v>276306</v>
          </cell>
          <cell r="E144">
            <v>1204</v>
          </cell>
          <cell r="F144">
            <v>22</v>
          </cell>
        </row>
        <row r="145">
          <cell r="A145" t="str">
            <v>2012-38</v>
          </cell>
          <cell r="B145">
            <v>2012</v>
          </cell>
          <cell r="C145">
            <v>38</v>
          </cell>
          <cell r="D145">
            <v>276383</v>
          </cell>
          <cell r="E145">
            <v>1204</v>
          </cell>
          <cell r="F145">
            <v>10</v>
          </cell>
        </row>
        <row r="146">
          <cell r="A146" t="str">
            <v>2012-39</v>
          </cell>
          <cell r="B146">
            <v>2012</v>
          </cell>
          <cell r="C146">
            <v>39</v>
          </cell>
          <cell r="D146">
            <v>277223</v>
          </cell>
          <cell r="E146">
            <v>1204</v>
          </cell>
          <cell r="F146">
            <v>22</v>
          </cell>
        </row>
        <row r="147">
          <cell r="A147" t="str">
            <v>2012-40</v>
          </cell>
          <cell r="B147">
            <v>2012</v>
          </cell>
          <cell r="C147">
            <v>40</v>
          </cell>
          <cell r="D147">
            <v>284091</v>
          </cell>
          <cell r="E147">
            <v>1255</v>
          </cell>
          <cell r="F147">
            <v>90</v>
          </cell>
        </row>
        <row r="148">
          <cell r="A148" t="str">
            <v>2012-41</v>
          </cell>
          <cell r="B148">
            <v>2012</v>
          </cell>
          <cell r="C148">
            <v>41</v>
          </cell>
          <cell r="D148">
            <v>278463</v>
          </cell>
          <cell r="E148">
            <v>1235</v>
          </cell>
          <cell r="F148">
            <v>85</v>
          </cell>
        </row>
        <row r="149">
          <cell r="A149" t="str">
            <v>2012-42</v>
          </cell>
          <cell r="B149">
            <v>2012</v>
          </cell>
          <cell r="C149">
            <v>42</v>
          </cell>
          <cell r="D149">
            <v>253109</v>
          </cell>
          <cell r="E149">
            <v>1133.5</v>
          </cell>
          <cell r="F149">
            <v>52.5</v>
          </cell>
        </row>
        <row r="150">
          <cell r="A150" t="str">
            <v>2012-43</v>
          </cell>
          <cell r="B150">
            <v>2012</v>
          </cell>
          <cell r="C150">
            <v>43</v>
          </cell>
          <cell r="D150">
            <v>274000</v>
          </cell>
          <cell r="E150">
            <v>1208</v>
          </cell>
          <cell r="F150">
            <v>7.5</v>
          </cell>
        </row>
        <row r="151">
          <cell r="A151" t="str">
            <v>2012-44</v>
          </cell>
          <cell r="B151">
            <v>2012</v>
          </cell>
          <cell r="C151">
            <v>44</v>
          </cell>
          <cell r="D151">
            <v>355124</v>
          </cell>
          <cell r="E151">
            <v>1464</v>
          </cell>
          <cell r="F151">
            <v>55</v>
          </cell>
        </row>
        <row r="152">
          <cell r="A152" t="str">
            <v>2012-45</v>
          </cell>
          <cell r="B152">
            <v>2012</v>
          </cell>
          <cell r="C152">
            <v>45</v>
          </cell>
          <cell r="D152">
            <v>281051</v>
          </cell>
          <cell r="E152">
            <v>1226</v>
          </cell>
          <cell r="F152">
            <v>47</v>
          </cell>
        </row>
        <row r="153">
          <cell r="A153" t="str">
            <v>2012-46</v>
          </cell>
          <cell r="B153">
            <v>2012</v>
          </cell>
          <cell r="C153">
            <v>46</v>
          </cell>
          <cell r="D153">
            <v>280507</v>
          </cell>
          <cell r="E153">
            <v>1227</v>
          </cell>
          <cell r="F153">
            <v>26.75</v>
          </cell>
        </row>
        <row r="154">
          <cell r="A154" t="str">
            <v>2012-47</v>
          </cell>
          <cell r="B154">
            <v>2012</v>
          </cell>
          <cell r="C154">
            <v>47</v>
          </cell>
          <cell r="D154">
            <v>288713</v>
          </cell>
          <cell r="E154">
            <v>1239</v>
          </cell>
        </row>
        <row r="155">
          <cell r="A155" t="str">
            <v>2012-48</v>
          </cell>
          <cell r="B155">
            <v>2012</v>
          </cell>
          <cell r="C155">
            <v>48</v>
          </cell>
          <cell r="D155">
            <v>312198</v>
          </cell>
          <cell r="E155">
            <v>1346</v>
          </cell>
          <cell r="F155">
            <v>49.5</v>
          </cell>
        </row>
        <row r="156">
          <cell r="A156" t="str">
            <v>2012-49</v>
          </cell>
          <cell r="B156">
            <v>2012</v>
          </cell>
          <cell r="C156">
            <v>49</v>
          </cell>
          <cell r="D156">
            <v>329200</v>
          </cell>
          <cell r="E156">
            <v>1396</v>
          </cell>
          <cell r="F156">
            <v>22</v>
          </cell>
        </row>
        <row r="157">
          <cell r="A157" t="str">
            <v>2012-50</v>
          </cell>
          <cell r="B157">
            <v>2012</v>
          </cell>
          <cell r="C157">
            <v>50</v>
          </cell>
          <cell r="D157">
            <v>383084</v>
          </cell>
          <cell r="E157">
            <v>1604</v>
          </cell>
          <cell r="F157">
            <v>3.5</v>
          </cell>
        </row>
        <row r="158">
          <cell r="A158" t="str">
            <v>2012-51</v>
          </cell>
          <cell r="B158">
            <v>2012</v>
          </cell>
          <cell r="C158">
            <v>51</v>
          </cell>
          <cell r="D158">
            <v>505000</v>
          </cell>
          <cell r="E158">
            <v>2105</v>
          </cell>
          <cell r="F158">
            <v>22.5</v>
          </cell>
        </row>
        <row r="159">
          <cell r="A159" t="str">
            <v>2012-52</v>
          </cell>
          <cell r="B159">
            <v>2012</v>
          </cell>
          <cell r="C159">
            <v>52</v>
          </cell>
          <cell r="D159">
            <v>280997</v>
          </cell>
          <cell r="E159">
            <v>1251</v>
          </cell>
          <cell r="F159">
            <v>97.5</v>
          </cell>
        </row>
        <row r="160">
          <cell r="A160" t="str">
            <v>2012-53</v>
          </cell>
          <cell r="B160">
            <v>2012</v>
          </cell>
          <cell r="C160">
            <v>53</v>
          </cell>
          <cell r="D160">
            <v>60486</v>
          </cell>
          <cell r="E160">
            <v>247</v>
          </cell>
        </row>
        <row r="161">
          <cell r="A161" t="str">
            <v>2013-1</v>
          </cell>
          <cell r="B161">
            <v>2013</v>
          </cell>
          <cell r="C161">
            <v>1</v>
          </cell>
          <cell r="D161">
            <v>260029</v>
          </cell>
          <cell r="E161">
            <v>1170</v>
          </cell>
          <cell r="F161">
            <v>94</v>
          </cell>
        </row>
        <row r="162">
          <cell r="A162" t="str">
            <v>2013-2</v>
          </cell>
          <cell r="B162">
            <v>2013</v>
          </cell>
          <cell r="C162">
            <v>2</v>
          </cell>
          <cell r="D162">
            <v>297287</v>
          </cell>
          <cell r="E162">
            <v>1283</v>
          </cell>
          <cell r="F162">
            <v>58</v>
          </cell>
        </row>
        <row r="163">
          <cell r="A163" t="str">
            <v>2013-3</v>
          </cell>
          <cell r="B163">
            <v>2013</v>
          </cell>
          <cell r="C163">
            <v>3</v>
          </cell>
          <cell r="D163">
            <v>297612</v>
          </cell>
          <cell r="E163">
            <v>1297</v>
          </cell>
          <cell r="F163">
            <v>106</v>
          </cell>
        </row>
        <row r="164">
          <cell r="A164" t="str">
            <v>2013-4</v>
          </cell>
          <cell r="B164">
            <v>2013</v>
          </cell>
          <cell r="C164">
            <v>4</v>
          </cell>
          <cell r="D164">
            <v>278247</v>
          </cell>
          <cell r="E164">
            <v>1223</v>
          </cell>
          <cell r="F164">
            <v>50</v>
          </cell>
        </row>
        <row r="165">
          <cell r="A165" t="str">
            <v>2013-5</v>
          </cell>
          <cell r="B165">
            <v>2013</v>
          </cell>
          <cell r="C165">
            <v>5</v>
          </cell>
          <cell r="D165">
            <v>279194</v>
          </cell>
          <cell r="E165">
            <v>1236</v>
          </cell>
          <cell r="F165">
            <v>0</v>
          </cell>
        </row>
        <row r="166">
          <cell r="A166" t="str">
            <v>2013-6</v>
          </cell>
          <cell r="B166">
            <v>2013</v>
          </cell>
          <cell r="C166">
            <v>6</v>
          </cell>
          <cell r="D166">
            <v>286155</v>
          </cell>
          <cell r="E166">
            <v>1259</v>
          </cell>
          <cell r="F166">
            <v>29</v>
          </cell>
        </row>
        <row r="167">
          <cell r="A167" t="str">
            <v>2013-7</v>
          </cell>
          <cell r="B167">
            <v>2013</v>
          </cell>
          <cell r="C167">
            <v>7</v>
          </cell>
          <cell r="D167">
            <v>282005</v>
          </cell>
          <cell r="E167">
            <v>1239</v>
          </cell>
          <cell r="F167">
            <v>75</v>
          </cell>
        </row>
        <row r="168">
          <cell r="A168" t="str">
            <v>2013-8</v>
          </cell>
          <cell r="B168">
            <v>2013</v>
          </cell>
          <cell r="C168">
            <v>8</v>
          </cell>
          <cell r="D168">
            <v>286421</v>
          </cell>
          <cell r="E168">
            <v>1262</v>
          </cell>
          <cell r="F168">
            <v>29</v>
          </cell>
        </row>
        <row r="169">
          <cell r="A169" t="str">
            <v>2013-9</v>
          </cell>
          <cell r="B169">
            <v>2013</v>
          </cell>
          <cell r="C169">
            <v>9</v>
          </cell>
          <cell r="D169">
            <v>282085</v>
          </cell>
          <cell r="E169">
            <v>1244</v>
          </cell>
          <cell r="F169">
            <v>36</v>
          </cell>
        </row>
        <row r="170">
          <cell r="A170" t="str">
            <v>2013-10</v>
          </cell>
          <cell r="B170">
            <v>2013</v>
          </cell>
          <cell r="C170">
            <v>10</v>
          </cell>
          <cell r="D170">
            <v>290661</v>
          </cell>
          <cell r="E170">
            <v>1262</v>
          </cell>
          <cell r="F170">
            <v>23</v>
          </cell>
        </row>
        <row r="171">
          <cell r="A171" t="str">
            <v>2013-11</v>
          </cell>
          <cell r="B171">
            <v>2013</v>
          </cell>
          <cell r="C171">
            <v>11</v>
          </cell>
          <cell r="D171">
            <v>294419</v>
          </cell>
          <cell r="E171">
            <v>1293</v>
          </cell>
          <cell r="F171">
            <v>96</v>
          </cell>
        </row>
        <row r="172">
          <cell r="A172" t="str">
            <v>2013-12</v>
          </cell>
          <cell r="B172">
            <v>2013</v>
          </cell>
          <cell r="C172">
            <v>12</v>
          </cell>
          <cell r="D172">
            <v>307768</v>
          </cell>
          <cell r="E172">
            <v>1307</v>
          </cell>
          <cell r="F172">
            <v>52</v>
          </cell>
        </row>
        <row r="173">
          <cell r="A173" t="str">
            <v>2013-13</v>
          </cell>
          <cell r="B173">
            <v>2013</v>
          </cell>
          <cell r="C173">
            <v>13</v>
          </cell>
          <cell r="D173">
            <v>356317</v>
          </cell>
          <cell r="E173">
            <v>1433</v>
          </cell>
          <cell r="F173">
            <v>45</v>
          </cell>
        </row>
        <row r="174">
          <cell r="A174" t="str">
            <v>2013-14</v>
          </cell>
          <cell r="B174">
            <v>2013</v>
          </cell>
          <cell r="C174">
            <v>14</v>
          </cell>
          <cell r="D174">
            <v>303023</v>
          </cell>
          <cell r="E174">
            <v>1297</v>
          </cell>
          <cell r="F174">
            <v>65</v>
          </cell>
        </row>
        <row r="175">
          <cell r="A175" t="str">
            <v>2013-15</v>
          </cell>
          <cell r="B175">
            <v>2013</v>
          </cell>
          <cell r="C175">
            <v>15</v>
          </cell>
          <cell r="D175">
            <v>290130</v>
          </cell>
          <cell r="E175">
            <v>1235</v>
          </cell>
          <cell r="F175">
            <v>24</v>
          </cell>
        </row>
        <row r="176">
          <cell r="A176" t="str">
            <v>2013-16</v>
          </cell>
          <cell r="B176">
            <v>2013</v>
          </cell>
          <cell r="C176">
            <v>16</v>
          </cell>
          <cell r="D176">
            <v>282855</v>
          </cell>
          <cell r="E176">
            <v>1216</v>
          </cell>
          <cell r="F176">
            <v>0</v>
          </cell>
        </row>
        <row r="177">
          <cell r="A177" t="str">
            <v>2013-17</v>
          </cell>
          <cell r="B177">
            <v>2013</v>
          </cell>
          <cell r="C177">
            <v>17</v>
          </cell>
          <cell r="D177">
            <v>289788</v>
          </cell>
          <cell r="E177">
            <v>1229</v>
          </cell>
          <cell r="F177">
            <v>0</v>
          </cell>
        </row>
        <row r="178">
          <cell r="A178" t="str">
            <v>2013-18</v>
          </cell>
          <cell r="B178">
            <v>2013</v>
          </cell>
          <cell r="C178">
            <v>18</v>
          </cell>
          <cell r="D178">
            <v>357433</v>
          </cell>
          <cell r="E178">
            <v>1431</v>
          </cell>
          <cell r="F178">
            <v>8</v>
          </cell>
        </row>
        <row r="179">
          <cell r="A179" t="str">
            <v>2013-19</v>
          </cell>
          <cell r="B179">
            <v>2013</v>
          </cell>
          <cell r="C179">
            <v>19</v>
          </cell>
          <cell r="D179">
            <v>297488</v>
          </cell>
          <cell r="E179">
            <v>1257</v>
          </cell>
          <cell r="F179">
            <v>45</v>
          </cell>
        </row>
        <row r="180">
          <cell r="A180" t="str">
            <v>2013-20</v>
          </cell>
          <cell r="B180">
            <v>2013</v>
          </cell>
          <cell r="C180">
            <v>20</v>
          </cell>
          <cell r="D180">
            <v>323576</v>
          </cell>
          <cell r="E180">
            <v>1368</v>
          </cell>
          <cell r="F180">
            <v>46</v>
          </cell>
        </row>
        <row r="181">
          <cell r="A181" t="str">
            <v>2013-21</v>
          </cell>
          <cell r="B181">
            <v>2013</v>
          </cell>
          <cell r="C181">
            <v>21</v>
          </cell>
          <cell r="D181">
            <v>236044</v>
          </cell>
          <cell r="E181">
            <v>1033</v>
          </cell>
          <cell r="F181">
            <v>41</v>
          </cell>
        </row>
        <row r="182">
          <cell r="A182" t="str">
            <v>2013-22</v>
          </cell>
          <cell r="B182">
            <v>2013</v>
          </cell>
          <cell r="C182">
            <v>22</v>
          </cell>
          <cell r="D182">
            <v>288930</v>
          </cell>
          <cell r="E182">
            <v>1263</v>
          </cell>
          <cell r="F182">
            <v>87</v>
          </cell>
        </row>
        <row r="183">
          <cell r="A183" t="str">
            <v>2013-23</v>
          </cell>
          <cell r="B183">
            <v>2013</v>
          </cell>
          <cell r="C183">
            <v>23</v>
          </cell>
          <cell r="D183">
            <v>271067</v>
          </cell>
          <cell r="E183">
            <v>1153</v>
          </cell>
          <cell r="F183">
            <v>38</v>
          </cell>
        </row>
        <row r="184">
          <cell r="A184" t="str">
            <v>2013-24</v>
          </cell>
          <cell r="B184">
            <v>2013</v>
          </cell>
          <cell r="C184">
            <v>24</v>
          </cell>
          <cell r="D184">
            <v>283773</v>
          </cell>
          <cell r="E184">
            <v>1239</v>
          </cell>
          <cell r="F184">
            <v>34</v>
          </cell>
        </row>
        <row r="185">
          <cell r="A185" t="str">
            <v>2013-25</v>
          </cell>
          <cell r="B185">
            <v>2013</v>
          </cell>
          <cell r="C185">
            <v>25</v>
          </cell>
          <cell r="D185">
            <v>271357</v>
          </cell>
          <cell r="E185">
            <v>1172</v>
          </cell>
          <cell r="F185">
            <v>20</v>
          </cell>
        </row>
        <row r="186">
          <cell r="A186" t="str">
            <v>2013-26</v>
          </cell>
          <cell r="B186">
            <v>2013</v>
          </cell>
          <cell r="C186">
            <v>26</v>
          </cell>
          <cell r="D186">
            <v>283254</v>
          </cell>
          <cell r="E186">
            <v>1218</v>
          </cell>
          <cell r="F186">
            <v>12</v>
          </cell>
        </row>
        <row r="187">
          <cell r="A187" t="str">
            <v>2013-27</v>
          </cell>
          <cell r="B187">
            <v>2013</v>
          </cell>
          <cell r="C187">
            <v>27</v>
          </cell>
          <cell r="D187">
            <v>254658</v>
          </cell>
          <cell r="E187">
            <v>1083</v>
          </cell>
          <cell r="F187">
            <v>0</v>
          </cell>
        </row>
        <row r="188">
          <cell r="A188" t="str">
            <v>2013-28</v>
          </cell>
          <cell r="B188">
            <v>2013</v>
          </cell>
          <cell r="C188">
            <v>28</v>
          </cell>
          <cell r="D188">
            <v>249526</v>
          </cell>
          <cell r="E188">
            <v>1038</v>
          </cell>
          <cell r="F188">
            <v>38</v>
          </cell>
        </row>
        <row r="189">
          <cell r="A189" t="str">
            <v>2013-29</v>
          </cell>
          <cell r="B189">
            <v>2013</v>
          </cell>
          <cell r="C189">
            <v>29</v>
          </cell>
          <cell r="D189">
            <v>206798</v>
          </cell>
          <cell r="E189">
            <v>913</v>
          </cell>
          <cell r="F189">
            <v>0</v>
          </cell>
        </row>
        <row r="190">
          <cell r="A190" t="str">
            <v>2013-30</v>
          </cell>
          <cell r="B190">
            <v>2013</v>
          </cell>
          <cell r="C190">
            <v>30</v>
          </cell>
          <cell r="D190">
            <v>208214</v>
          </cell>
          <cell r="E190">
            <v>880</v>
          </cell>
          <cell r="F190">
            <v>0</v>
          </cell>
        </row>
        <row r="191">
          <cell r="A191" t="str">
            <v>2013-31</v>
          </cell>
          <cell r="B191">
            <v>2013</v>
          </cell>
          <cell r="C191">
            <v>31</v>
          </cell>
          <cell r="D191">
            <v>251456</v>
          </cell>
          <cell r="E191">
            <v>1072</v>
          </cell>
          <cell r="F191">
            <v>32</v>
          </cell>
        </row>
        <row r="192">
          <cell r="A192" t="str">
            <v>2013-32</v>
          </cell>
          <cell r="B192">
            <v>2013</v>
          </cell>
          <cell r="C192">
            <v>32</v>
          </cell>
          <cell r="D192">
            <v>255756</v>
          </cell>
          <cell r="E192">
            <v>1064</v>
          </cell>
          <cell r="F192">
            <v>45</v>
          </cell>
        </row>
        <row r="193">
          <cell r="A193" t="str">
            <v>2013-33</v>
          </cell>
          <cell r="B193">
            <v>2013</v>
          </cell>
          <cell r="C193">
            <v>33</v>
          </cell>
          <cell r="D193">
            <v>275235</v>
          </cell>
          <cell r="E193">
            <v>1176</v>
          </cell>
          <cell r="F193">
            <v>38</v>
          </cell>
        </row>
        <row r="194">
          <cell r="A194" t="str">
            <v>2013-34</v>
          </cell>
          <cell r="B194">
            <v>2013</v>
          </cell>
          <cell r="C194">
            <v>34</v>
          </cell>
          <cell r="D194">
            <v>291046</v>
          </cell>
          <cell r="E194">
            <v>1210</v>
          </cell>
          <cell r="F194">
            <v>0</v>
          </cell>
        </row>
        <row r="195">
          <cell r="A195" t="str">
            <v>2013-35</v>
          </cell>
          <cell r="B195">
            <v>2013</v>
          </cell>
          <cell r="C195">
            <v>35</v>
          </cell>
          <cell r="D195">
            <v>265113</v>
          </cell>
          <cell r="E195">
            <v>1137</v>
          </cell>
          <cell r="F195">
            <v>0</v>
          </cell>
        </row>
        <row r="196">
          <cell r="A196" t="str">
            <v>2013-36</v>
          </cell>
          <cell r="B196">
            <v>2013</v>
          </cell>
          <cell r="C196">
            <v>36</v>
          </cell>
          <cell r="D196">
            <v>266321</v>
          </cell>
          <cell r="E196">
            <v>1113</v>
          </cell>
          <cell r="F196">
            <v>0</v>
          </cell>
        </row>
        <row r="197">
          <cell r="A197" t="str">
            <v>2013-37</v>
          </cell>
          <cell r="B197">
            <v>2013</v>
          </cell>
          <cell r="C197">
            <v>37</v>
          </cell>
          <cell r="D197">
            <v>274820</v>
          </cell>
          <cell r="E197">
            <v>1187</v>
          </cell>
          <cell r="F197">
            <v>21</v>
          </cell>
        </row>
        <row r="198">
          <cell r="A198" t="str">
            <v>2013-38</v>
          </cell>
          <cell r="B198">
            <v>2013</v>
          </cell>
          <cell r="C198">
            <v>38</v>
          </cell>
          <cell r="D198">
            <v>272076</v>
          </cell>
          <cell r="E198">
            <v>1136</v>
          </cell>
          <cell r="F198">
            <v>20</v>
          </cell>
        </row>
        <row r="199">
          <cell r="A199" t="str">
            <v>2013-39</v>
          </cell>
          <cell r="B199">
            <v>2013</v>
          </cell>
          <cell r="C199">
            <v>39</v>
          </cell>
          <cell r="D199">
            <v>264696</v>
          </cell>
          <cell r="E199">
            <v>1131</v>
          </cell>
          <cell r="F199">
            <v>13</v>
          </cell>
        </row>
        <row r="200">
          <cell r="A200" t="str">
            <v>2013-40</v>
          </cell>
          <cell r="B200">
            <v>2013</v>
          </cell>
          <cell r="C200">
            <v>40</v>
          </cell>
          <cell r="D200">
            <v>287807</v>
          </cell>
          <cell r="E200">
            <v>1219</v>
          </cell>
          <cell r="F200">
            <v>30</v>
          </cell>
        </row>
        <row r="201">
          <cell r="A201" t="str">
            <v>2013-41</v>
          </cell>
          <cell r="B201">
            <v>2013</v>
          </cell>
          <cell r="C201">
            <v>41</v>
          </cell>
          <cell r="D201">
            <v>258078</v>
          </cell>
          <cell r="E201">
            <v>1163</v>
          </cell>
          <cell r="F201">
            <v>98</v>
          </cell>
        </row>
        <row r="202">
          <cell r="A202" t="str">
            <v>2013-42</v>
          </cell>
          <cell r="B202">
            <v>2013</v>
          </cell>
          <cell r="C202">
            <v>42</v>
          </cell>
          <cell r="D202">
            <v>271674</v>
          </cell>
          <cell r="E202">
            <v>1198</v>
          </cell>
          <cell r="F202">
            <v>31</v>
          </cell>
        </row>
        <row r="203">
          <cell r="A203" t="str">
            <v>2013-43</v>
          </cell>
          <cell r="B203">
            <v>2013</v>
          </cell>
          <cell r="C203">
            <v>43</v>
          </cell>
          <cell r="D203">
            <v>270270</v>
          </cell>
          <cell r="E203">
            <v>1187</v>
          </cell>
          <cell r="F203">
            <v>0</v>
          </cell>
        </row>
        <row r="204">
          <cell r="A204" t="str">
            <v>2013-44</v>
          </cell>
          <cell r="B204">
            <v>2013</v>
          </cell>
          <cell r="C204">
            <v>44</v>
          </cell>
          <cell r="D204">
            <v>294313</v>
          </cell>
          <cell r="E204">
            <v>1240</v>
          </cell>
          <cell r="F204">
            <v>0</v>
          </cell>
        </row>
        <row r="205">
          <cell r="A205" t="str">
            <v>2013-45</v>
          </cell>
          <cell r="B205">
            <v>2013</v>
          </cell>
          <cell r="C205">
            <v>45</v>
          </cell>
          <cell r="D205">
            <v>272897</v>
          </cell>
          <cell r="E205">
            <v>1200</v>
          </cell>
          <cell r="F205">
            <v>0</v>
          </cell>
        </row>
        <row r="206">
          <cell r="A206" t="str">
            <v>2013-46</v>
          </cell>
          <cell r="B206">
            <v>2013</v>
          </cell>
          <cell r="C206">
            <v>46</v>
          </cell>
          <cell r="D206">
            <v>288003</v>
          </cell>
          <cell r="E206">
            <v>1207</v>
          </cell>
          <cell r="F206">
            <v>0</v>
          </cell>
        </row>
        <row r="207">
          <cell r="A207" t="str">
            <v>2013-47</v>
          </cell>
          <cell r="B207">
            <v>2013</v>
          </cell>
          <cell r="C207">
            <v>47</v>
          </cell>
          <cell r="D207">
            <v>280252</v>
          </cell>
          <cell r="E207">
            <v>1200</v>
          </cell>
          <cell r="F207">
            <v>0</v>
          </cell>
        </row>
        <row r="208">
          <cell r="A208" t="str">
            <v>2013-48</v>
          </cell>
          <cell r="B208">
            <v>2013</v>
          </cell>
          <cell r="C208">
            <v>48</v>
          </cell>
          <cell r="D208">
            <v>296152</v>
          </cell>
          <cell r="E208">
            <v>1229</v>
          </cell>
          <cell r="F208">
            <v>53</v>
          </cell>
        </row>
        <row r="209">
          <cell r="A209" t="str">
            <v>2013-49</v>
          </cell>
          <cell r="B209">
            <v>2013</v>
          </cell>
          <cell r="C209">
            <v>49</v>
          </cell>
          <cell r="D209">
            <v>324020</v>
          </cell>
          <cell r="E209">
            <v>1343</v>
          </cell>
          <cell r="F209">
            <v>60</v>
          </cell>
        </row>
        <row r="210">
          <cell r="A210" t="str">
            <v>2013-50</v>
          </cell>
          <cell r="B210">
            <v>2013</v>
          </cell>
          <cell r="C210">
            <v>50</v>
          </cell>
          <cell r="D210">
            <v>368494</v>
          </cell>
          <cell r="E210">
            <v>1496</v>
          </cell>
          <cell r="F210">
            <v>22</v>
          </cell>
        </row>
        <row r="211">
          <cell r="A211" t="str">
            <v>2013-51</v>
          </cell>
          <cell r="B211">
            <v>2013</v>
          </cell>
          <cell r="C211">
            <v>51</v>
          </cell>
          <cell r="D211">
            <v>454186</v>
          </cell>
          <cell r="E211">
            <v>1858</v>
          </cell>
          <cell r="F211">
            <v>30</v>
          </cell>
        </row>
        <row r="212">
          <cell r="A212" t="str">
            <v>2013-52</v>
          </cell>
          <cell r="B212">
            <v>2013</v>
          </cell>
          <cell r="C212">
            <v>52</v>
          </cell>
          <cell r="D212">
            <v>282043</v>
          </cell>
          <cell r="E212">
            <v>1196</v>
          </cell>
          <cell r="F212">
            <v>20</v>
          </cell>
        </row>
        <row r="213">
          <cell r="A213" t="str">
            <v>2013-53</v>
          </cell>
          <cell r="B213">
            <v>2013</v>
          </cell>
          <cell r="C213">
            <v>53</v>
          </cell>
          <cell r="D213">
            <v>132717</v>
          </cell>
          <cell r="E213">
            <v>523</v>
          </cell>
          <cell r="F213">
            <v>0</v>
          </cell>
        </row>
        <row r="214">
          <cell r="A214" t="str">
            <v>2014-1</v>
          </cell>
          <cell r="B214">
            <v>2014</v>
          </cell>
          <cell r="C214">
            <v>1</v>
          </cell>
          <cell r="D214">
            <v>185268</v>
          </cell>
          <cell r="E214">
            <v>767</v>
          </cell>
          <cell r="F214">
            <v>0</v>
          </cell>
        </row>
        <row r="215">
          <cell r="A215" t="str">
            <v>2014-2</v>
          </cell>
          <cell r="B215">
            <v>2014</v>
          </cell>
          <cell r="C215">
            <v>2</v>
          </cell>
          <cell r="D215">
            <v>271811</v>
          </cell>
          <cell r="E215">
            <v>1166</v>
          </cell>
          <cell r="F215">
            <v>0</v>
          </cell>
        </row>
        <row r="216">
          <cell r="A216" t="str">
            <v>2014-3</v>
          </cell>
          <cell r="B216">
            <v>2014</v>
          </cell>
          <cell r="C216">
            <v>3</v>
          </cell>
          <cell r="D216">
            <v>290476</v>
          </cell>
          <cell r="E216">
            <v>1241</v>
          </cell>
          <cell r="F216">
            <v>23</v>
          </cell>
        </row>
        <row r="217">
          <cell r="A217" t="str">
            <v>2014-4</v>
          </cell>
          <cell r="B217">
            <v>2014</v>
          </cell>
          <cell r="C217">
            <v>4</v>
          </cell>
          <cell r="D217">
            <v>283733</v>
          </cell>
          <cell r="E217">
            <v>1210</v>
          </cell>
          <cell r="F217">
            <v>36</v>
          </cell>
        </row>
        <row r="218">
          <cell r="A218" t="str">
            <v>2014-5</v>
          </cell>
          <cell r="B218">
            <v>2014</v>
          </cell>
          <cell r="C218">
            <v>5</v>
          </cell>
          <cell r="D218">
            <v>285775</v>
          </cell>
          <cell r="E218">
            <v>1238</v>
          </cell>
          <cell r="F218">
            <v>66</v>
          </cell>
        </row>
        <row r="219">
          <cell r="A219" t="str">
            <v>2014-6</v>
          </cell>
          <cell r="B219">
            <v>2014</v>
          </cell>
          <cell r="C219">
            <v>6</v>
          </cell>
          <cell r="D219">
            <v>289874</v>
          </cell>
          <cell r="E219">
            <v>1248</v>
          </cell>
          <cell r="F219">
            <v>98</v>
          </cell>
        </row>
      </sheetData>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refreshError="1"/>
      <sheetData sheetId="33"/>
      <sheetData sheetId="34"/>
      <sheetData sheetId="35"/>
      <sheetData sheetId="36"/>
      <sheetData sheetId="37"/>
      <sheetData sheetId="38"/>
      <sheetData sheetId="39"/>
      <sheetData sheetId="40"/>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sX"/>
      <sheetName val="Graf Oms"/>
      <sheetName val="MainFrame"/>
      <sheetName val="ActionLog"/>
      <sheetName val="Min Butikk"/>
      <sheetName val="Store Trend"/>
      <sheetName val="Min Margin"/>
      <sheetName val="Simulator"/>
      <sheetName val="Sykefravær"/>
      <sheetName val="Mitt Distrikt"/>
      <sheetName val="Mitt Distrikt YTD"/>
      <sheetName val="RegionTotal"/>
      <sheetName val="Min Region Ukesvisning"/>
      <sheetName val="Benchmarking Super"/>
      <sheetName val="Benchmarking Super YTD"/>
      <sheetName val="Benchmarking Nær"/>
      <sheetName val="Benchmarking Nær YTD"/>
      <sheetName val="BenchHist Min Butikk"/>
      <sheetName val="BudPer"/>
      <sheetName val="HELP ME"/>
    </sheetNames>
    <sheetDataSet>
      <sheetData sheetId="0"/>
      <sheetData sheetId="1" refreshError="1"/>
      <sheetData sheetId="2"/>
      <sheetData sheetId="3"/>
      <sheetData sheetId="4">
        <row r="8">
          <cell r="A8">
            <v>1</v>
          </cell>
          <cell r="B8">
            <v>0</v>
          </cell>
          <cell r="C8">
            <v>1</v>
          </cell>
          <cell r="D8">
            <v>2271000</v>
          </cell>
          <cell r="E8">
            <v>2272725</v>
          </cell>
          <cell r="F8">
            <v>1139</v>
          </cell>
          <cell r="G8">
            <v>1143.7811520024393</v>
          </cell>
          <cell r="H8">
            <v>1170</v>
          </cell>
          <cell r="I8">
            <v>-254009</v>
          </cell>
          <cell r="J8">
            <v>-254201.93946499337</v>
          </cell>
          <cell r="K8">
            <v>-260029</v>
          </cell>
          <cell r="L8">
            <v>-0.1118489652135623</v>
          </cell>
          <cell r="M8">
            <v>-254009</v>
          </cell>
          <cell r="N8">
            <v>-0.1118489652135623</v>
          </cell>
          <cell r="O8">
            <v>-0.11441287441287441</v>
          </cell>
          <cell r="P8">
            <v>-0.11441287441287441</v>
          </cell>
          <cell r="Q8">
            <v>1993.8542581211589</v>
          </cell>
          <cell r="R8">
            <v>1942.5</v>
          </cell>
          <cell r="S8">
            <v>-223.01053555750659</v>
          </cell>
          <cell r="T8">
            <v>-222.24700854700853</v>
          </cell>
          <cell r="U8">
            <v>-1.3881547468075737E-2</v>
          </cell>
          <cell r="V8">
            <v>-31524.994299999998</v>
          </cell>
          <cell r="W8">
            <v>-7.5820875820875825E-3</v>
          </cell>
          <cell r="X8">
            <v>-17232</v>
          </cell>
          <cell r="Y8">
            <v>0</v>
          </cell>
          <cell r="Z8">
            <v>0.20793012793012794</v>
          </cell>
          <cell r="AA8">
            <v>-260029</v>
          </cell>
          <cell r="AB8">
            <v>-0.11441287441287441</v>
          </cell>
        </row>
        <row r="9">
          <cell r="A9">
            <v>2</v>
          </cell>
          <cell r="B9">
            <v>1</v>
          </cell>
          <cell r="C9">
            <v>1</v>
          </cell>
          <cell r="D9">
            <v>3106000</v>
          </cell>
          <cell r="E9">
            <v>3225574</v>
          </cell>
          <cell r="F9">
            <v>1304</v>
          </cell>
          <cell r="G9">
            <v>1300.459456701069</v>
          </cell>
          <cell r="H9">
            <v>1284</v>
          </cell>
          <cell r="I9">
            <v>-290804</v>
          </cell>
          <cell r="J9">
            <v>-301999.29861429491</v>
          </cell>
          <cell r="K9">
            <v>-298177</v>
          </cell>
          <cell r="L9">
            <v>-9.3626529298132644E-2</v>
          </cell>
          <cell r="M9">
            <v>-290804</v>
          </cell>
          <cell r="N9">
            <v>-0.1013228566114934</v>
          </cell>
          <cell r="O9">
            <v>-9.2441531336748123E-2</v>
          </cell>
          <cell r="P9">
            <v>-0.10152339841831083</v>
          </cell>
          <cell r="Q9">
            <v>2381.9018404907974</v>
          </cell>
          <cell r="R9">
            <v>2512.1292834890965</v>
          </cell>
          <cell r="S9">
            <v>-223.00920245398774</v>
          </cell>
          <cell r="T9">
            <v>-232.22507788161994</v>
          </cell>
          <cell r="U9">
            <v>-1.2974884964584675E-2</v>
          </cell>
          <cell r="V9">
            <v>-40299.992700000003</v>
          </cell>
          <cell r="W9">
            <v>-1.0220506489697648E-2</v>
          </cell>
          <cell r="X9">
            <v>-32967</v>
          </cell>
          <cell r="Y9">
            <v>0</v>
          </cell>
          <cell r="Z9">
            <v>0.21309323549855003</v>
          </cell>
          <cell r="AA9">
            <v>-298177</v>
          </cell>
          <cell r="AB9">
            <v>-9.2441531336748123E-2</v>
          </cell>
        </row>
        <row r="10">
          <cell r="A10">
            <v>3</v>
          </cell>
          <cell r="B10">
            <v>1</v>
          </cell>
          <cell r="C10">
            <v>1</v>
          </cell>
          <cell r="D10">
            <v>3092000</v>
          </cell>
          <cell r="E10">
            <v>3346857</v>
          </cell>
          <cell r="F10">
            <v>1284</v>
          </cell>
          <cell r="G10">
            <v>1386.2768065638172</v>
          </cell>
          <cell r="H10">
            <v>1295</v>
          </cell>
          <cell r="I10">
            <v>-286344</v>
          </cell>
          <cell r="J10">
            <v>-309945.80233117723</v>
          </cell>
          <cell r="K10">
            <v>-289538</v>
          </cell>
          <cell r="L10">
            <v>-9.2608020698576973E-2</v>
          </cell>
          <cell r="M10">
            <v>-286344</v>
          </cell>
          <cell r="N10">
            <v>-9.8141102845672457E-2</v>
          </cell>
          <cell r="O10">
            <v>-8.6510418580775933E-2</v>
          </cell>
          <cell r="P10">
            <v>-9.5842741496023356E-2</v>
          </cell>
          <cell r="Q10">
            <v>2408.0996884735205</v>
          </cell>
          <cell r="R10">
            <v>2584.4455598455597</v>
          </cell>
          <cell r="S10">
            <v>-223.00934579439252</v>
          </cell>
          <cell r="T10">
            <v>-223.58146718146719</v>
          </cell>
          <cell r="U10">
            <v>-1.3033632826649419E-2</v>
          </cell>
          <cell r="V10">
            <v>-40299.992700000003</v>
          </cell>
          <cell r="W10">
            <v>-1.3210304473719672E-2</v>
          </cell>
          <cell r="X10">
            <v>-44213</v>
          </cell>
          <cell r="Y10">
            <v>0</v>
          </cell>
          <cell r="Z10">
            <v>0.23333473763593723</v>
          </cell>
          <cell r="AA10">
            <v>-289538</v>
          </cell>
          <cell r="AB10">
            <v>-8.6510418580775933E-2</v>
          </cell>
        </row>
        <row r="11">
          <cell r="A11">
            <v>4</v>
          </cell>
          <cell r="B11">
            <v>1</v>
          </cell>
          <cell r="C11">
            <v>1</v>
          </cell>
          <cell r="D11">
            <v>3096000</v>
          </cell>
          <cell r="E11">
            <v>3187447</v>
          </cell>
          <cell r="F11">
            <v>1284</v>
          </cell>
          <cell r="G11">
            <v>1295.7990672727485</v>
          </cell>
          <cell r="H11">
            <v>1210</v>
          </cell>
          <cell r="I11">
            <v>-286344</v>
          </cell>
          <cell r="J11">
            <v>-294801.78416279069</v>
          </cell>
          <cell r="K11">
            <v>-275282</v>
          </cell>
          <cell r="L11">
            <v>-9.2488372093023255E-2</v>
          </cell>
          <cell r="M11">
            <v>-286344</v>
          </cell>
          <cell r="N11">
            <v>-9.6627842628620841E-2</v>
          </cell>
          <cell r="O11">
            <v>-8.6364416412257214E-2</v>
          </cell>
          <cell r="P11">
            <v>-9.3331924937604935E-2</v>
          </cell>
          <cell r="Q11">
            <v>2411.2149532710282</v>
          </cell>
          <cell r="R11">
            <v>2634.2537190082644</v>
          </cell>
          <cell r="S11">
            <v>-223.00934579439252</v>
          </cell>
          <cell r="T11">
            <v>-227.50578512396694</v>
          </cell>
          <cell r="U11">
            <v>-1.3016793507751938E-2</v>
          </cell>
          <cell r="V11">
            <v>-40299.992700000003</v>
          </cell>
          <cell r="W11">
            <v>-1.0701040676127321E-2</v>
          </cell>
          <cell r="X11">
            <v>-34109</v>
          </cell>
          <cell r="Y11">
            <v>0</v>
          </cell>
          <cell r="Z11">
            <v>0.23482366922493142</v>
          </cell>
          <cell r="AA11">
            <v>-275282</v>
          </cell>
          <cell r="AB11">
            <v>-8.6364416412257214E-2</v>
          </cell>
        </row>
        <row r="12">
          <cell r="A12">
            <v>5</v>
          </cell>
          <cell r="B12">
            <v>1</v>
          </cell>
          <cell r="C12">
            <v>1</v>
          </cell>
          <cell r="D12">
            <v>3101000</v>
          </cell>
          <cell r="E12">
            <v>3078194</v>
          </cell>
          <cell r="F12">
            <v>1284</v>
          </cell>
          <cell r="G12">
            <v>1262.5132709904988</v>
          </cell>
          <cell r="H12">
            <v>1236</v>
          </cell>
          <cell r="I12">
            <v>-286344</v>
          </cell>
          <cell r="J12">
            <v>-284238.11116930022</v>
          </cell>
          <cell r="K12">
            <v>-278269</v>
          </cell>
          <cell r="L12">
            <v>-9.2339245404708156E-2</v>
          </cell>
          <cell r="M12">
            <v>-286344</v>
          </cell>
          <cell r="N12">
            <v>-9.5721055502522842E-2</v>
          </cell>
          <cell r="O12">
            <v>-9.0400085244789638E-2</v>
          </cell>
          <cell r="P12">
            <v>-9.2734685007018494E-2</v>
          </cell>
          <cell r="Q12">
            <v>2415.1090342679126</v>
          </cell>
          <cell r="R12">
            <v>2490.4482200647249</v>
          </cell>
          <cell r="S12">
            <v>-223.00934579439252</v>
          </cell>
          <cell r="T12">
            <v>-225.13673139158576</v>
          </cell>
          <cell r="U12">
            <v>-1.2995805449854887E-2</v>
          </cell>
          <cell r="V12">
            <v>-40299.992700000003</v>
          </cell>
          <cell r="W12">
            <v>-1.2703877663331161E-2</v>
          </cell>
          <cell r="X12">
            <v>-39105</v>
          </cell>
          <cell r="Y12">
            <v>0</v>
          </cell>
          <cell r="Z12">
            <v>0.25169433765383209</v>
          </cell>
          <cell r="AA12">
            <v>-278269</v>
          </cell>
          <cell r="AB12">
            <v>-9.0400085244789638E-2</v>
          </cell>
        </row>
        <row r="13">
          <cell r="A13">
            <v>6</v>
          </cell>
          <cell r="B13">
            <v>1</v>
          </cell>
          <cell r="C13">
            <v>1</v>
          </cell>
          <cell r="D13">
            <v>3217000</v>
          </cell>
          <cell r="E13">
            <v>2968195</v>
          </cell>
          <cell r="F13">
            <v>1284</v>
          </cell>
          <cell r="G13">
            <v>1165.588986980154</v>
          </cell>
          <cell r="H13">
            <v>1229</v>
          </cell>
          <cell r="I13">
            <v>-286344</v>
          </cell>
          <cell r="J13">
            <v>-264197.95743860741</v>
          </cell>
          <cell r="K13">
            <v>-278571</v>
          </cell>
          <cell r="L13">
            <v>-8.9009636307118431E-2</v>
          </cell>
          <cell r="M13">
            <v>-286344</v>
          </cell>
          <cell r="N13">
            <v>-9.451372812167981E-2</v>
          </cell>
          <cell r="O13">
            <v>-9.3851987487345009E-2</v>
          </cell>
          <cell r="P13">
            <v>-9.2918122868797109E-2</v>
          </cell>
          <cell r="Q13">
            <v>2505.4517133956388</v>
          </cell>
          <cell r="R13">
            <v>2415.1301871440196</v>
          </cell>
          <cell r="S13">
            <v>-223.00934579439252</v>
          </cell>
          <cell r="T13">
            <v>-226.66476810414972</v>
          </cell>
          <cell r="U13">
            <v>-1.2123093845197387E-2</v>
          </cell>
          <cell r="V13">
            <v>-38999.992899999997</v>
          </cell>
          <cell r="W13">
            <v>-1.2034923581503237E-2</v>
          </cell>
          <cell r="X13">
            <v>-35722</v>
          </cell>
          <cell r="Y13">
            <v>0</v>
          </cell>
          <cell r="Z13">
            <v>0.25297293472969262</v>
          </cell>
          <cell r="AA13">
            <v>-278571</v>
          </cell>
          <cell r="AB13">
            <v>-9.3851987487345009E-2</v>
          </cell>
        </row>
        <row r="14">
          <cell r="A14">
            <v>7</v>
          </cell>
          <cell r="B14">
            <v>1</v>
          </cell>
          <cell r="C14">
            <v>0</v>
          </cell>
          <cell r="D14">
            <v>3134000</v>
          </cell>
          <cell r="E14">
            <v>0</v>
          </cell>
          <cell r="F14">
            <v>1284</v>
          </cell>
          <cell r="G14">
            <v>0</v>
          </cell>
          <cell r="H14">
            <v>0</v>
          </cell>
          <cell r="I14">
            <v>-286344</v>
          </cell>
          <cell r="J14">
            <v>0</v>
          </cell>
          <cell r="K14">
            <v>0</v>
          </cell>
          <cell r="L14">
            <v>-9.1366943203573706E-2</v>
          </cell>
          <cell r="M14">
            <v>-286344</v>
          </cell>
          <cell r="N14">
            <v>-9.4044487795594045E-2</v>
          </cell>
          <cell r="O14"/>
          <cell r="P14"/>
          <cell r="Q14">
            <v>2440.8099688473521</v>
          </cell>
          <cell r="R14"/>
          <cell r="S14">
            <v>-223.00934579439252</v>
          </cell>
          <cell r="T14"/>
          <cell r="U14">
            <v>-1.2444158551372047E-2</v>
          </cell>
          <cell r="V14">
            <v>-38999.992899999997</v>
          </cell>
          <cell r="W14">
            <v>0</v>
          </cell>
          <cell r="X14">
            <v>0</v>
          </cell>
          <cell r="Y14">
            <v>0</v>
          </cell>
          <cell r="Z14">
            <v>0</v>
          </cell>
          <cell r="AA14">
            <v>-286985.71506915573</v>
          </cell>
          <cell r="AB14">
            <v>-9.1571702319449819E-2</v>
          </cell>
        </row>
        <row r="15">
          <cell r="A15">
            <v>8</v>
          </cell>
          <cell r="B15">
            <v>1</v>
          </cell>
          <cell r="C15">
            <v>0</v>
          </cell>
          <cell r="D15">
            <v>2842000</v>
          </cell>
          <cell r="E15">
            <v>0</v>
          </cell>
          <cell r="F15">
            <v>1264</v>
          </cell>
          <cell r="G15">
            <v>0</v>
          </cell>
          <cell r="H15">
            <v>0</v>
          </cell>
          <cell r="I15">
            <v>-281884</v>
          </cell>
          <cell r="J15">
            <v>0</v>
          </cell>
          <cell r="K15">
            <v>0</v>
          </cell>
          <cell r="L15">
            <v>-9.9185080928923294E-2</v>
          </cell>
          <cell r="M15">
            <v>-281884</v>
          </cell>
          <cell r="N15">
            <v>-9.4656817133995555E-2</v>
          </cell>
          <cell r="O15"/>
          <cell r="P15"/>
          <cell r="Q15">
            <v>2248.4177215189875</v>
          </cell>
          <cell r="R15"/>
          <cell r="S15">
            <v>-223.00949367088609</v>
          </cell>
          <cell r="T15"/>
          <cell r="U15">
            <v>-1.3722727973258268E-2</v>
          </cell>
          <cell r="V15">
            <v>-38999.992899999997</v>
          </cell>
          <cell r="W15">
            <v>0</v>
          </cell>
          <cell r="X15">
            <v>0</v>
          </cell>
          <cell r="Y15">
            <v>0</v>
          </cell>
          <cell r="Z15">
            <v>0</v>
          </cell>
          <cell r="AA15">
            <v>-282525.71506915573</v>
          </cell>
          <cell r="AB15">
            <v>-9.9410877927218769E-2</v>
          </cell>
        </row>
        <row r="16">
          <cell r="A16">
            <v>9</v>
          </cell>
          <cell r="B16">
            <v>1</v>
          </cell>
          <cell r="C16">
            <v>0</v>
          </cell>
          <cell r="D16">
            <v>3123000</v>
          </cell>
          <cell r="E16">
            <v>0</v>
          </cell>
          <cell r="F16">
            <v>1284</v>
          </cell>
          <cell r="G16">
            <v>0</v>
          </cell>
          <cell r="H16">
            <v>0</v>
          </cell>
          <cell r="I16">
            <v>-286344</v>
          </cell>
          <cell r="J16">
            <v>0</v>
          </cell>
          <cell r="K16">
            <v>0</v>
          </cell>
          <cell r="L16">
            <v>-9.1688760806916431E-2</v>
          </cell>
          <cell r="M16">
            <v>-286344</v>
          </cell>
          <cell r="N16">
            <v>-9.4313282929360309E-2</v>
          </cell>
          <cell r="O16"/>
          <cell r="P16"/>
          <cell r="Q16">
            <v>2432.2429906542056</v>
          </cell>
          <cell r="R16"/>
          <cell r="S16">
            <v>-223.00934579439252</v>
          </cell>
          <cell r="T16"/>
          <cell r="U16">
            <v>-1.2487990041626641E-2</v>
          </cell>
          <cell r="V16">
            <v>-38999.992899999997</v>
          </cell>
          <cell r="W16">
            <v>0</v>
          </cell>
          <cell r="X16">
            <v>0</v>
          </cell>
          <cell r="Y16">
            <v>0</v>
          </cell>
          <cell r="Z16">
            <v>0</v>
          </cell>
          <cell r="AA16">
            <v>-286985.71506915573</v>
          </cell>
          <cell r="AB16">
            <v>-9.1894241136457167E-2</v>
          </cell>
        </row>
        <row r="17">
          <cell r="A17">
            <v>10</v>
          </cell>
          <cell r="B17">
            <v>1</v>
          </cell>
          <cell r="C17">
            <v>0</v>
          </cell>
          <cell r="D17">
            <v>2931000</v>
          </cell>
          <cell r="E17">
            <v>0</v>
          </cell>
          <cell r="F17">
            <v>1264</v>
          </cell>
          <cell r="G17">
            <v>0</v>
          </cell>
          <cell r="H17">
            <v>0</v>
          </cell>
          <cell r="I17">
            <v>-281884</v>
          </cell>
          <cell r="J17">
            <v>0</v>
          </cell>
          <cell r="K17">
            <v>0</v>
          </cell>
          <cell r="L17">
            <v>-9.6173319686113951E-2</v>
          </cell>
          <cell r="M17">
            <v>-281884</v>
          </cell>
          <cell r="N17">
            <v>-9.4495537057466647E-2</v>
          </cell>
          <cell r="O17"/>
          <cell r="P17"/>
          <cell r="Q17">
            <v>2318.8291139240505</v>
          </cell>
          <cell r="R17"/>
          <cell r="S17">
            <v>-223.00949367088609</v>
          </cell>
          <cell r="T17"/>
          <cell r="U17">
            <v>-1.3084269191402252E-2</v>
          </cell>
          <cell r="V17">
            <v>-38349.993000000002</v>
          </cell>
          <cell r="W17">
            <v>0</v>
          </cell>
          <cell r="X17">
            <v>0</v>
          </cell>
          <cell r="Y17">
            <v>0</v>
          </cell>
          <cell r="Z17">
            <v>0</v>
          </cell>
          <cell r="AA17">
            <v>-282525.71506915573</v>
          </cell>
          <cell r="AB17">
            <v>-9.6392260344304245E-2</v>
          </cell>
        </row>
        <row r="18">
          <cell r="A18">
            <v>11</v>
          </cell>
          <cell r="B18">
            <v>1</v>
          </cell>
          <cell r="C18">
            <v>0</v>
          </cell>
          <cell r="D18">
            <v>2845000</v>
          </cell>
          <cell r="E18">
            <v>0</v>
          </cell>
          <cell r="F18">
            <v>1264</v>
          </cell>
          <cell r="G18">
            <v>0</v>
          </cell>
          <cell r="H18">
            <v>0</v>
          </cell>
          <cell r="I18">
            <v>-281884</v>
          </cell>
          <cell r="J18">
            <v>0</v>
          </cell>
          <cell r="K18">
            <v>0</v>
          </cell>
          <cell r="L18">
            <v>-9.9080492091388403E-2</v>
          </cell>
          <cell r="M18">
            <v>-281884</v>
          </cell>
          <cell r="N18">
            <v>-9.4893735881311433E-2</v>
          </cell>
          <cell r="O18"/>
          <cell r="P18"/>
          <cell r="Q18">
            <v>2250.7911392405063</v>
          </cell>
          <cell r="R18"/>
          <cell r="S18">
            <v>-223.00949367088609</v>
          </cell>
          <cell r="T18"/>
          <cell r="U18">
            <v>-1.256590281195079E-2</v>
          </cell>
          <cell r="V18">
            <v>-35749.993499999997</v>
          </cell>
          <cell r="W18">
            <v>0</v>
          </cell>
          <cell r="X18">
            <v>0</v>
          </cell>
          <cell r="Y18">
            <v>0</v>
          </cell>
          <cell r="Z18">
            <v>0</v>
          </cell>
          <cell r="AA18">
            <v>-282525.71506915573</v>
          </cell>
          <cell r="AB18">
            <v>-9.9306050990915898E-2</v>
          </cell>
        </row>
        <row r="19">
          <cell r="A19">
            <v>12</v>
          </cell>
          <cell r="B19">
            <v>1</v>
          </cell>
          <cell r="C19">
            <v>0</v>
          </cell>
          <cell r="D19">
            <v>2897000</v>
          </cell>
          <cell r="E19">
            <v>0</v>
          </cell>
          <cell r="F19">
            <v>1264</v>
          </cell>
          <cell r="G19">
            <v>0</v>
          </cell>
          <cell r="H19">
            <v>0</v>
          </cell>
          <cell r="I19">
            <v>-281884</v>
          </cell>
          <cell r="J19">
            <v>0</v>
          </cell>
          <cell r="K19">
            <v>0</v>
          </cell>
          <cell r="L19">
            <v>-9.7302036589575425E-2</v>
          </cell>
          <cell r="M19">
            <v>-281884</v>
          </cell>
          <cell r="N19">
            <v>-9.5089412424624875E-2</v>
          </cell>
          <cell r="O19"/>
          <cell r="P19"/>
          <cell r="Q19">
            <v>2291.9303797468356</v>
          </cell>
          <cell r="R19"/>
          <cell r="S19">
            <v>-223.00949367088609</v>
          </cell>
          <cell r="T19"/>
          <cell r="U19">
            <v>-1.3462199827407663E-2</v>
          </cell>
          <cell r="V19">
            <v>-38999.992899999997</v>
          </cell>
          <cell r="W19">
            <v>0</v>
          </cell>
          <cell r="X19">
            <v>0</v>
          </cell>
          <cell r="Y19">
            <v>0</v>
          </cell>
          <cell r="Z19">
            <v>0</v>
          </cell>
          <cell r="AA19">
            <v>-282525.71506915573</v>
          </cell>
          <cell r="AB19">
            <v>-9.75235467963948E-2</v>
          </cell>
        </row>
        <row r="20">
          <cell r="A20">
            <v>13</v>
          </cell>
          <cell r="B20">
            <v>1</v>
          </cell>
          <cell r="C20">
            <v>0</v>
          </cell>
          <cell r="D20">
            <v>2732000</v>
          </cell>
          <cell r="E20">
            <v>0</v>
          </cell>
          <cell r="F20">
            <v>1414</v>
          </cell>
          <cell r="G20">
            <v>0</v>
          </cell>
          <cell r="H20">
            <v>0</v>
          </cell>
          <cell r="I20">
            <v>-315334</v>
          </cell>
          <cell r="J20">
            <v>0</v>
          </cell>
          <cell r="K20">
            <v>0</v>
          </cell>
          <cell r="L20">
            <v>-0.11542240117130308</v>
          </cell>
          <cell r="M20">
            <v>-315334</v>
          </cell>
          <cell r="N20">
            <v>-9.6536509755906955E-2</v>
          </cell>
          <cell r="O20"/>
          <cell r="P20"/>
          <cell r="Q20">
            <v>1932.1074964639322</v>
          </cell>
          <cell r="R20"/>
          <cell r="S20">
            <v>-223.00848656294201</v>
          </cell>
          <cell r="T20"/>
          <cell r="U20">
            <v>-1.3323570058565154E-2</v>
          </cell>
          <cell r="V20">
            <v>-36399.993399999999</v>
          </cell>
          <cell r="W20">
            <v>0</v>
          </cell>
          <cell r="X20">
            <v>0</v>
          </cell>
          <cell r="Y20">
            <v>0</v>
          </cell>
          <cell r="Z20">
            <v>0</v>
          </cell>
          <cell r="AA20">
            <v>-315975.71506915573</v>
          </cell>
          <cell r="AB20">
            <v>-0.115657289556792</v>
          </cell>
        </row>
        <row r="21">
          <cell r="A21">
            <v>14</v>
          </cell>
          <cell r="B21">
            <v>1</v>
          </cell>
          <cell r="C21">
            <v>0</v>
          </cell>
          <cell r="D21">
            <v>2660000</v>
          </cell>
          <cell r="E21">
            <v>0</v>
          </cell>
          <cell r="F21">
            <v>1314</v>
          </cell>
          <cell r="G21">
            <v>0</v>
          </cell>
          <cell r="H21">
            <v>0</v>
          </cell>
          <cell r="I21">
            <v>-293034</v>
          </cell>
          <cell r="J21">
            <v>0</v>
          </cell>
          <cell r="K21">
            <v>0</v>
          </cell>
          <cell r="L21">
            <v>-0.11016315789473684</v>
          </cell>
          <cell r="M21">
            <v>-293034</v>
          </cell>
          <cell r="N21">
            <v>-9.7419567812507615E-2</v>
          </cell>
          <cell r="O21"/>
          <cell r="P21"/>
          <cell r="Q21">
            <v>2024.3531202435313</v>
          </cell>
          <cell r="R21"/>
          <cell r="S21">
            <v>-223.00913242009133</v>
          </cell>
          <cell r="T21"/>
          <cell r="U21">
            <v>-1.3195486315789474E-2</v>
          </cell>
          <cell r="V21">
            <v>-35099.993600000002</v>
          </cell>
          <cell r="W21">
            <v>0</v>
          </cell>
          <cell r="X21">
            <v>0</v>
          </cell>
          <cell r="Y21">
            <v>0</v>
          </cell>
          <cell r="Z21">
            <v>0</v>
          </cell>
          <cell r="AA21">
            <v>-293675.71506915573</v>
          </cell>
          <cell r="AB21">
            <v>-0.11040440416133675</v>
          </cell>
        </row>
        <row r="22">
          <cell r="A22">
            <v>15</v>
          </cell>
          <cell r="B22">
            <v>1</v>
          </cell>
          <cell r="C22">
            <v>0</v>
          </cell>
          <cell r="D22">
            <v>2858000</v>
          </cell>
          <cell r="E22">
            <v>0</v>
          </cell>
          <cell r="F22">
            <v>1264</v>
          </cell>
          <cell r="G22">
            <v>0</v>
          </cell>
          <cell r="H22">
            <v>0</v>
          </cell>
          <cell r="I22">
            <v>-281884</v>
          </cell>
          <cell r="J22">
            <v>0</v>
          </cell>
          <cell r="K22">
            <v>0</v>
          </cell>
          <cell r="L22">
            <v>-9.8629811056682989E-2</v>
          </cell>
          <cell r="M22">
            <v>-281884</v>
          </cell>
          <cell r="N22">
            <v>-9.7498348707436511E-2</v>
          </cell>
          <cell r="O22"/>
          <cell r="P22"/>
          <cell r="Q22">
            <v>2261.0759493670885</v>
          </cell>
          <cell r="R22"/>
          <cell r="S22">
            <v>-223.00949367088609</v>
          </cell>
          <cell r="T22"/>
          <cell r="U22">
            <v>-1.3645903743876836E-2</v>
          </cell>
          <cell r="V22">
            <v>-38999.992899999997</v>
          </cell>
          <cell r="W22">
            <v>0</v>
          </cell>
          <cell r="X22">
            <v>0</v>
          </cell>
          <cell r="Y22">
            <v>0</v>
          </cell>
          <cell r="Z22">
            <v>0</v>
          </cell>
          <cell r="AA22">
            <v>-282525.71506915573</v>
          </cell>
          <cell r="AB22">
            <v>-9.8854343971013198E-2</v>
          </cell>
        </row>
        <row r="23">
          <cell r="A23">
            <v>16</v>
          </cell>
          <cell r="B23">
            <v>1</v>
          </cell>
          <cell r="C23">
            <v>0</v>
          </cell>
          <cell r="D23">
            <v>2858000</v>
          </cell>
          <cell r="E23">
            <v>0</v>
          </cell>
          <cell r="F23">
            <v>1264</v>
          </cell>
          <cell r="G23">
            <v>0</v>
          </cell>
          <cell r="H23">
            <v>0</v>
          </cell>
          <cell r="I23">
            <v>-281884</v>
          </cell>
          <cell r="J23">
            <v>0</v>
          </cell>
          <cell r="K23">
            <v>0</v>
          </cell>
          <cell r="L23">
            <v>-9.8629811056682989E-2</v>
          </cell>
          <cell r="M23">
            <v>-281884</v>
          </cell>
          <cell r="N23">
            <v>-9.7567499946538933E-2</v>
          </cell>
          <cell r="O23"/>
          <cell r="P23"/>
          <cell r="Q23">
            <v>2261.0759493670885</v>
          </cell>
          <cell r="R23"/>
          <cell r="S23">
            <v>-223.00949367088609</v>
          </cell>
          <cell r="T23"/>
          <cell r="U23">
            <v>-1.2963608537438767E-2</v>
          </cell>
          <cell r="V23">
            <v>-37049.993199999997</v>
          </cell>
          <cell r="W23">
            <v>0</v>
          </cell>
          <cell r="X23">
            <v>0</v>
          </cell>
          <cell r="Y23">
            <v>0</v>
          </cell>
          <cell r="Z23">
            <v>0</v>
          </cell>
          <cell r="AA23">
            <v>-282525.71506915573</v>
          </cell>
          <cell r="AB23">
            <v>-9.8854343971013198E-2</v>
          </cell>
        </row>
        <row r="24">
          <cell r="A24">
            <v>17</v>
          </cell>
          <cell r="B24">
            <v>1</v>
          </cell>
          <cell r="C24">
            <v>0</v>
          </cell>
          <cell r="D24">
            <v>2792000</v>
          </cell>
          <cell r="E24">
            <v>0</v>
          </cell>
          <cell r="F24">
            <v>1264</v>
          </cell>
          <cell r="G24">
            <v>0</v>
          </cell>
          <cell r="H24">
            <v>0</v>
          </cell>
          <cell r="I24">
            <v>-281884</v>
          </cell>
          <cell r="J24">
            <v>0</v>
          </cell>
          <cell r="K24">
            <v>0</v>
          </cell>
          <cell r="L24">
            <v>-0.10096131805157593</v>
          </cell>
          <cell r="M24">
            <v>-281884</v>
          </cell>
          <cell r="N24">
            <v>-9.7758712541620427E-2</v>
          </cell>
          <cell r="O24"/>
          <cell r="P24"/>
          <cell r="Q24">
            <v>2208.8607594936707</v>
          </cell>
          <cell r="R24"/>
          <cell r="S24">
            <v>-223.00949367088609</v>
          </cell>
          <cell r="T24"/>
          <cell r="U24">
            <v>-1.327005487106017E-2</v>
          </cell>
          <cell r="V24">
            <v>-37049.993199999997</v>
          </cell>
          <cell r="W24">
            <v>0</v>
          </cell>
          <cell r="X24">
            <v>0</v>
          </cell>
          <cell r="Y24">
            <v>0</v>
          </cell>
          <cell r="Z24">
            <v>0</v>
          </cell>
          <cell r="AA24">
            <v>-282525.71506915573</v>
          </cell>
          <cell r="AB24">
            <v>-0.10119115869239102</v>
          </cell>
        </row>
        <row r="25">
          <cell r="A25">
            <v>18</v>
          </cell>
          <cell r="B25">
            <v>1</v>
          </cell>
          <cell r="C25">
            <v>0</v>
          </cell>
          <cell r="D25">
            <v>2927000</v>
          </cell>
          <cell r="E25">
            <v>0</v>
          </cell>
          <cell r="F25">
            <v>1464</v>
          </cell>
          <cell r="G25">
            <v>0</v>
          </cell>
          <cell r="H25">
            <v>0</v>
          </cell>
          <cell r="I25">
            <v>-339543</v>
          </cell>
          <cell r="J25">
            <v>0</v>
          </cell>
          <cell r="K25">
            <v>0</v>
          </cell>
          <cell r="L25">
            <v>-0.11600375811411001</v>
          </cell>
          <cell r="M25">
            <v>-339543</v>
          </cell>
          <cell r="N25">
            <v>-9.8776266148393729E-2</v>
          </cell>
          <cell r="O25"/>
          <cell r="P25"/>
          <cell r="Q25">
            <v>1999.3169398907103</v>
          </cell>
          <cell r="R25"/>
          <cell r="S25">
            <v>-231.92827868852459</v>
          </cell>
          <cell r="T25"/>
          <cell r="U25">
            <v>-1.3324220327980868E-2</v>
          </cell>
          <cell r="V25">
            <v>-38999.992899999997</v>
          </cell>
          <cell r="W25">
            <v>0</v>
          </cell>
          <cell r="X25">
            <v>0</v>
          </cell>
          <cell r="Y25">
            <v>0</v>
          </cell>
          <cell r="Z25">
            <v>0</v>
          </cell>
          <cell r="AA25">
            <v>-340184.71506915573</v>
          </cell>
          <cell r="AB25">
            <v>-0.11622299797374641</v>
          </cell>
        </row>
        <row r="26">
          <cell r="A26">
            <v>19</v>
          </cell>
          <cell r="B26">
            <v>1</v>
          </cell>
          <cell r="C26">
            <v>0</v>
          </cell>
          <cell r="D26">
            <v>2927000</v>
          </cell>
          <cell r="E26">
            <v>0</v>
          </cell>
          <cell r="F26">
            <v>1264</v>
          </cell>
          <cell r="G26">
            <v>0</v>
          </cell>
          <cell r="H26">
            <v>0</v>
          </cell>
          <cell r="I26">
            <v>-293159</v>
          </cell>
          <cell r="J26">
            <v>0</v>
          </cell>
          <cell r="K26">
            <v>0</v>
          </cell>
          <cell r="L26">
            <v>-0.10015681585240861</v>
          </cell>
          <cell r="M26">
            <v>-293159</v>
          </cell>
          <cell r="N26">
            <v>-9.8849194174231617E-2</v>
          </cell>
          <cell r="O26"/>
          <cell r="P26"/>
          <cell r="Q26">
            <v>2315.6645569620255</v>
          </cell>
          <cell r="R26"/>
          <cell r="S26">
            <v>-231.92958860759492</v>
          </cell>
          <cell r="T26"/>
          <cell r="U26">
            <v>-1.3324220327980868E-2</v>
          </cell>
          <cell r="V26">
            <v>-38999.992899999997</v>
          </cell>
          <cell r="W26">
            <v>0</v>
          </cell>
          <cell r="X26">
            <v>0</v>
          </cell>
          <cell r="Y26">
            <v>0</v>
          </cell>
          <cell r="Z26">
            <v>0</v>
          </cell>
          <cell r="AA26">
            <v>-293800.71506915573</v>
          </cell>
          <cell r="AB26">
            <v>-0.10037605571204501</v>
          </cell>
        </row>
        <row r="27">
          <cell r="A27">
            <v>20</v>
          </cell>
          <cell r="B27">
            <v>1</v>
          </cell>
          <cell r="C27">
            <v>0</v>
          </cell>
          <cell r="D27">
            <v>3645000</v>
          </cell>
          <cell r="E27">
            <v>0</v>
          </cell>
          <cell r="F27">
            <v>1404</v>
          </cell>
          <cell r="G27">
            <v>0</v>
          </cell>
          <cell r="H27">
            <v>0</v>
          </cell>
          <cell r="I27">
            <v>-325628</v>
          </cell>
          <cell r="J27">
            <v>0</v>
          </cell>
          <cell r="K27">
            <v>0</v>
          </cell>
          <cell r="L27">
            <v>-8.9335528120713312E-2</v>
          </cell>
          <cell r="M27">
            <v>-325628</v>
          </cell>
          <cell r="N27">
            <v>-9.8261980560165274E-2</v>
          </cell>
          <cell r="O27"/>
          <cell r="P27"/>
          <cell r="Q27">
            <v>2596.1538461538462</v>
          </cell>
          <cell r="R27"/>
          <cell r="S27">
            <v>-231.92877492877494</v>
          </cell>
          <cell r="T27"/>
          <cell r="U27">
            <v>-1.2661177393689986E-2</v>
          </cell>
          <cell r="V27">
            <v>-46149.991600000001</v>
          </cell>
          <cell r="W27">
            <v>0</v>
          </cell>
          <cell r="X27">
            <v>0</v>
          </cell>
          <cell r="Y27">
            <v>0</v>
          </cell>
          <cell r="Z27">
            <v>0</v>
          </cell>
          <cell r="AA27">
            <v>-326269.71506915573</v>
          </cell>
          <cell r="AB27">
            <v>-8.9511581637628457E-2</v>
          </cell>
        </row>
        <row r="28">
          <cell r="A28">
            <v>21</v>
          </cell>
          <cell r="B28">
            <v>1</v>
          </cell>
          <cell r="C28">
            <v>0</v>
          </cell>
          <cell r="D28">
            <v>2747000</v>
          </cell>
          <cell r="E28">
            <v>0</v>
          </cell>
          <cell r="F28">
            <v>1279</v>
          </cell>
          <cell r="G28">
            <v>0</v>
          </cell>
          <cell r="H28">
            <v>0</v>
          </cell>
          <cell r="I28">
            <v>-296638</v>
          </cell>
          <cell r="J28">
            <v>0</v>
          </cell>
          <cell r="K28">
            <v>0</v>
          </cell>
          <cell r="L28">
            <v>-0.10798616672733892</v>
          </cell>
          <cell r="M28">
            <v>-296638</v>
          </cell>
          <cell r="N28">
            <v>-9.8694212067765894E-2</v>
          </cell>
          <cell r="O28"/>
          <cell r="P28"/>
          <cell r="Q28">
            <v>2147.7716966379985</v>
          </cell>
          <cell r="R28"/>
          <cell r="S28">
            <v>-231.92963252541048</v>
          </cell>
          <cell r="T28"/>
          <cell r="U28">
            <v>-1.2540951474335638E-2</v>
          </cell>
          <cell r="V28">
            <v>-34449.993699999999</v>
          </cell>
          <cell r="W28">
            <v>0</v>
          </cell>
          <cell r="X28">
            <v>0</v>
          </cell>
          <cell r="Y28">
            <v>0</v>
          </cell>
          <cell r="Z28">
            <v>0</v>
          </cell>
          <cell r="AA28">
            <v>-297279.71506915573</v>
          </cell>
          <cell r="AB28">
            <v>-0.10821977250424308</v>
          </cell>
        </row>
        <row r="29">
          <cell r="A29">
            <v>22</v>
          </cell>
          <cell r="B29">
            <v>1</v>
          </cell>
          <cell r="C29">
            <v>0</v>
          </cell>
          <cell r="D29">
            <v>2877000</v>
          </cell>
          <cell r="E29">
            <v>0</v>
          </cell>
          <cell r="F29">
            <v>1264</v>
          </cell>
          <cell r="G29">
            <v>0</v>
          </cell>
          <cell r="H29">
            <v>0</v>
          </cell>
          <cell r="I29">
            <v>-293159</v>
          </cell>
          <cell r="J29">
            <v>0</v>
          </cell>
          <cell r="K29">
            <v>0</v>
          </cell>
          <cell r="L29">
            <v>-0.10189746263468891</v>
          </cell>
          <cell r="M29">
            <v>-293159</v>
          </cell>
          <cell r="N29">
            <v>-9.8836698722904237E-2</v>
          </cell>
          <cell r="O29"/>
          <cell r="P29"/>
          <cell r="Q29">
            <v>2276.1075949367087</v>
          </cell>
          <cell r="R29"/>
          <cell r="S29">
            <v>-231.92958860759492</v>
          </cell>
          <cell r="T29"/>
          <cell r="U29">
            <v>-1.3329855057351408E-2</v>
          </cell>
          <cell r="V29">
            <v>-38349.993000000002</v>
          </cell>
          <cell r="W29">
            <v>0</v>
          </cell>
          <cell r="X29">
            <v>0</v>
          </cell>
          <cell r="Y29">
            <v>0</v>
          </cell>
          <cell r="Z29">
            <v>0</v>
          </cell>
          <cell r="AA29">
            <v>-293800.71506915573</v>
          </cell>
          <cell r="AB29">
            <v>-0.102120512710864</v>
          </cell>
        </row>
        <row r="30">
          <cell r="A30">
            <v>23</v>
          </cell>
          <cell r="B30">
            <v>1</v>
          </cell>
          <cell r="C30">
            <v>0</v>
          </cell>
          <cell r="D30">
            <v>2877000</v>
          </cell>
          <cell r="E30">
            <v>0</v>
          </cell>
          <cell r="F30">
            <v>1164</v>
          </cell>
          <cell r="G30">
            <v>0</v>
          </cell>
          <cell r="H30">
            <v>0</v>
          </cell>
          <cell r="I30">
            <v>-269967</v>
          </cell>
          <cell r="J30">
            <v>0</v>
          </cell>
          <cell r="K30">
            <v>0</v>
          </cell>
          <cell r="L30">
            <v>-9.3836287799791446E-2</v>
          </cell>
          <cell r="M30">
            <v>-269967</v>
          </cell>
          <cell r="N30">
            <v>-9.862374361631264E-2</v>
          </cell>
          <cell r="O30"/>
          <cell r="P30"/>
          <cell r="Q30">
            <v>2471.6494845360826</v>
          </cell>
          <cell r="R30"/>
          <cell r="S30">
            <v>-231.93041237113403</v>
          </cell>
          <cell r="T30"/>
          <cell r="U30">
            <v>-1.3555784810566561E-2</v>
          </cell>
          <cell r="V30">
            <v>-38999.992899999997</v>
          </cell>
          <cell r="W30">
            <v>0</v>
          </cell>
          <cell r="X30">
            <v>0</v>
          </cell>
          <cell r="Y30">
            <v>0</v>
          </cell>
          <cell r="Z30">
            <v>0</v>
          </cell>
          <cell r="AA30">
            <v>-270608.71506915573</v>
          </cell>
          <cell r="AB30">
            <v>-9.4059337875966542E-2</v>
          </cell>
        </row>
        <row r="31">
          <cell r="A31">
            <v>24</v>
          </cell>
          <cell r="B31">
            <v>1</v>
          </cell>
          <cell r="C31">
            <v>0</v>
          </cell>
          <cell r="D31">
            <v>2934000</v>
          </cell>
          <cell r="E31">
            <v>0</v>
          </cell>
          <cell r="F31">
            <v>1164</v>
          </cell>
          <cell r="G31">
            <v>0</v>
          </cell>
          <cell r="H31">
            <v>0</v>
          </cell>
          <cell r="I31">
            <v>-269967</v>
          </cell>
          <cell r="J31">
            <v>0</v>
          </cell>
          <cell r="K31">
            <v>0</v>
          </cell>
          <cell r="L31">
            <v>-9.2013292433537827E-2</v>
          </cell>
          <cell r="M31">
            <v>-269967</v>
          </cell>
          <cell r="N31">
            <v>-9.8348593397551393E-2</v>
          </cell>
          <cell r="O31"/>
          <cell r="P31"/>
          <cell r="Q31">
            <v>2520.6185567010311</v>
          </cell>
          <cell r="R31"/>
          <cell r="S31">
            <v>-231.93041237113403</v>
          </cell>
          <cell r="T31"/>
          <cell r="U31">
            <v>-1.3292431117927743E-2</v>
          </cell>
          <cell r="V31">
            <v>-38999.992899999997</v>
          </cell>
          <cell r="W31">
            <v>0</v>
          </cell>
          <cell r="X31">
            <v>0</v>
          </cell>
          <cell r="Y31">
            <v>0</v>
          </cell>
          <cell r="Z31">
            <v>0</v>
          </cell>
          <cell r="AA31">
            <v>-270608.71506915573</v>
          </cell>
          <cell r="AB31">
            <v>-9.2232009226024453E-2</v>
          </cell>
        </row>
        <row r="32">
          <cell r="A32">
            <v>25</v>
          </cell>
          <cell r="B32">
            <v>1</v>
          </cell>
          <cell r="C32">
            <v>0</v>
          </cell>
          <cell r="D32">
            <v>2886000</v>
          </cell>
          <cell r="E32">
            <v>0</v>
          </cell>
          <cell r="F32">
            <v>1164</v>
          </cell>
          <cell r="G32">
            <v>0</v>
          </cell>
          <cell r="H32">
            <v>0</v>
          </cell>
          <cell r="I32">
            <v>-269967</v>
          </cell>
          <cell r="J32">
            <v>0</v>
          </cell>
          <cell r="K32">
            <v>0</v>
          </cell>
          <cell r="L32">
            <v>-9.354365904365905E-2</v>
          </cell>
          <cell r="M32">
            <v>-269967</v>
          </cell>
          <cell r="N32">
            <v>-9.8159604770017034E-2</v>
          </cell>
          <cell r="O32"/>
          <cell r="P32"/>
          <cell r="Q32">
            <v>2479.3814432989689</v>
          </cell>
          <cell r="R32"/>
          <cell r="S32">
            <v>-231.93041237113403</v>
          </cell>
          <cell r="T32"/>
          <cell r="U32">
            <v>-1.3288285862785864E-2</v>
          </cell>
          <cell r="V32">
            <v>-38349.993000000002</v>
          </cell>
          <cell r="W32">
            <v>0</v>
          </cell>
          <cell r="X32">
            <v>0</v>
          </cell>
          <cell r="Y32">
            <v>0</v>
          </cell>
          <cell r="Z32">
            <v>0</v>
          </cell>
          <cell r="AA32">
            <v>-270608.71506915573</v>
          </cell>
          <cell r="AB32">
            <v>-9.3766013537476003E-2</v>
          </cell>
        </row>
        <row r="33">
          <cell r="A33">
            <v>26</v>
          </cell>
          <cell r="B33">
            <v>1</v>
          </cell>
          <cell r="C33">
            <v>0</v>
          </cell>
          <cell r="D33">
            <v>3001000</v>
          </cell>
          <cell r="E33">
            <v>0</v>
          </cell>
          <cell r="F33">
            <v>1164</v>
          </cell>
          <cell r="G33">
            <v>0</v>
          </cell>
          <cell r="H33">
            <v>0</v>
          </cell>
          <cell r="I33">
            <v>-269967</v>
          </cell>
          <cell r="J33">
            <v>0</v>
          </cell>
          <cell r="K33">
            <v>0</v>
          </cell>
          <cell r="L33">
            <v>-8.9959013662112633E-2</v>
          </cell>
          <cell r="M33">
            <v>-269967</v>
          </cell>
          <cell r="N33">
            <v>-9.7837383471247513E-2</v>
          </cell>
          <cell r="O33"/>
          <cell r="P33"/>
          <cell r="Q33">
            <v>2578.1786941580758</v>
          </cell>
          <cell r="R33"/>
          <cell r="S33">
            <v>-231.93041237113403</v>
          </cell>
          <cell r="T33"/>
          <cell r="U33">
            <v>-1.277907130956348E-2</v>
          </cell>
          <cell r="V33">
            <v>-38349.993000000002</v>
          </cell>
          <cell r="W33">
            <v>0</v>
          </cell>
          <cell r="X33">
            <v>0</v>
          </cell>
          <cell r="Y33">
            <v>0</v>
          </cell>
          <cell r="Z33">
            <v>0</v>
          </cell>
          <cell r="AA33">
            <v>-270608.71506915573</v>
          </cell>
          <cell r="AB33">
            <v>-9.0172847407249498E-2</v>
          </cell>
        </row>
        <row r="34">
          <cell r="A34">
            <v>27</v>
          </cell>
          <cell r="B34">
            <v>1</v>
          </cell>
          <cell r="C34">
            <v>0</v>
          </cell>
          <cell r="D34">
            <v>2505000</v>
          </cell>
          <cell r="E34">
            <v>0</v>
          </cell>
          <cell r="F34">
            <v>1039</v>
          </cell>
          <cell r="G34">
            <v>0</v>
          </cell>
          <cell r="H34">
            <v>0</v>
          </cell>
          <cell r="I34">
            <v>-240977</v>
          </cell>
          <cell r="J34">
            <v>0</v>
          </cell>
          <cell r="K34">
            <v>0</v>
          </cell>
          <cell r="L34">
            <v>-9.619840319361278E-2</v>
          </cell>
          <cell r="M34">
            <v>-240977.00000000003</v>
          </cell>
          <cell r="N34">
            <v>-9.778533487151532E-2</v>
          </cell>
          <cell r="O34"/>
          <cell r="P34"/>
          <cell r="Q34">
            <v>2410.9720885466795</v>
          </cell>
          <cell r="R34"/>
          <cell r="S34">
            <v>-231.93166506256014</v>
          </cell>
          <cell r="T34"/>
          <cell r="U34">
            <v>-1.3752492495009979E-2</v>
          </cell>
          <cell r="V34">
            <v>-34449.993699999999</v>
          </cell>
          <cell r="W34">
            <v>0</v>
          </cell>
          <cell r="X34">
            <v>0</v>
          </cell>
          <cell r="Y34">
            <v>0</v>
          </cell>
          <cell r="Z34">
            <v>0</v>
          </cell>
          <cell r="AA34">
            <v>-241618.71506915576</v>
          </cell>
          <cell r="AB34">
            <v>-9.6454576873914483E-2</v>
          </cell>
        </row>
        <row r="35">
          <cell r="A35">
            <v>28</v>
          </cell>
          <cell r="B35">
            <v>1</v>
          </cell>
          <cell r="C35">
            <v>0</v>
          </cell>
          <cell r="D35">
            <v>2375000</v>
          </cell>
          <cell r="E35">
            <v>0</v>
          </cell>
          <cell r="F35">
            <v>1014</v>
          </cell>
          <cell r="G35">
            <v>0</v>
          </cell>
          <cell r="H35">
            <v>0</v>
          </cell>
          <cell r="I35">
            <v>-235179</v>
          </cell>
          <cell r="J35">
            <v>0</v>
          </cell>
          <cell r="K35">
            <v>0</v>
          </cell>
          <cell r="L35">
            <v>-9.9022736842105261E-2</v>
          </cell>
          <cell r="M35">
            <v>-235179</v>
          </cell>
          <cell r="N35">
            <v>-9.7821502412129571E-2</v>
          </cell>
          <cell r="O35"/>
          <cell r="P35"/>
          <cell r="Q35">
            <v>2342.2090729783035</v>
          </cell>
          <cell r="R35"/>
          <cell r="S35">
            <v>-231.9319526627219</v>
          </cell>
          <cell r="T35"/>
          <cell r="U35">
            <v>-1.2589471368421054E-2</v>
          </cell>
          <cell r="V35">
            <v>-29899.994500000004</v>
          </cell>
          <cell r="W35">
            <v>0</v>
          </cell>
          <cell r="X35">
            <v>0</v>
          </cell>
          <cell r="Y35">
            <v>0</v>
          </cell>
          <cell r="Z35">
            <v>0</v>
          </cell>
          <cell r="AA35">
            <v>-235820.71506915573</v>
          </cell>
          <cell r="AB35">
            <v>-9.929293266069715E-2</v>
          </cell>
        </row>
        <row r="36">
          <cell r="A36">
            <v>29</v>
          </cell>
          <cell r="B36">
            <v>1</v>
          </cell>
          <cell r="C36">
            <v>0</v>
          </cell>
          <cell r="D36">
            <v>2210000</v>
          </cell>
          <cell r="E36">
            <v>0</v>
          </cell>
          <cell r="F36">
            <v>964</v>
          </cell>
          <cell r="G36">
            <v>0</v>
          </cell>
          <cell r="H36">
            <v>0</v>
          </cell>
          <cell r="I36">
            <v>-223583</v>
          </cell>
          <cell r="J36">
            <v>0</v>
          </cell>
          <cell r="K36">
            <v>0</v>
          </cell>
          <cell r="L36">
            <v>-0.10116877828054299</v>
          </cell>
          <cell r="M36">
            <v>-223583</v>
          </cell>
          <cell r="N36">
            <v>-9.7910131071334436E-2</v>
          </cell>
          <cell r="O36"/>
          <cell r="P36"/>
          <cell r="Q36">
            <v>2292.5311203319502</v>
          </cell>
          <cell r="R36"/>
          <cell r="S36">
            <v>-231.9325726141079</v>
          </cell>
          <cell r="T36"/>
          <cell r="U36">
            <v>-1.35294092760181E-2</v>
          </cell>
          <cell r="V36">
            <v>-29899.994500000001</v>
          </cell>
          <cell r="W36">
            <v>0</v>
          </cell>
          <cell r="X36">
            <v>0</v>
          </cell>
          <cell r="Y36">
            <v>0</v>
          </cell>
          <cell r="Z36">
            <v>0</v>
          </cell>
          <cell r="AA36">
            <v>-224224.71506915573</v>
          </cell>
          <cell r="AB36">
            <v>-0.10145914709011572</v>
          </cell>
        </row>
        <row r="37">
          <cell r="A37">
            <v>30</v>
          </cell>
          <cell r="B37">
            <v>1</v>
          </cell>
          <cell r="C37">
            <v>0</v>
          </cell>
          <cell r="D37">
            <v>2442000</v>
          </cell>
          <cell r="E37">
            <v>0</v>
          </cell>
          <cell r="F37">
            <v>1014</v>
          </cell>
          <cell r="G37">
            <v>0</v>
          </cell>
          <cell r="H37">
            <v>0</v>
          </cell>
          <cell r="I37">
            <v>-235179</v>
          </cell>
          <cell r="J37">
            <v>0</v>
          </cell>
          <cell r="K37">
            <v>0</v>
          </cell>
          <cell r="L37">
            <v>-9.630589680589681E-2</v>
          </cell>
          <cell r="M37">
            <v>-235179</v>
          </cell>
          <cell r="N37">
            <v>-9.7864529496670863E-2</v>
          </cell>
          <cell r="O37"/>
          <cell r="P37"/>
          <cell r="Q37">
            <v>2408.2840236686388</v>
          </cell>
          <cell r="R37"/>
          <cell r="S37">
            <v>-231.9319526627219</v>
          </cell>
          <cell r="T37"/>
          <cell r="U37">
            <v>-1.2510235217035218E-2</v>
          </cell>
          <cell r="V37">
            <v>-30549.994400000003</v>
          </cell>
          <cell r="W37">
            <v>0</v>
          </cell>
          <cell r="X37">
            <v>0</v>
          </cell>
          <cell r="Y37">
            <v>0</v>
          </cell>
          <cell r="Z37">
            <v>0</v>
          </cell>
          <cell r="AA37">
            <v>-235820.71506915573</v>
          </cell>
          <cell r="AB37">
            <v>-9.656867938949866E-2</v>
          </cell>
        </row>
        <row r="38">
          <cell r="A38">
            <v>31</v>
          </cell>
          <cell r="B38">
            <v>1</v>
          </cell>
          <cell r="C38">
            <v>0</v>
          </cell>
          <cell r="D38">
            <v>2642000</v>
          </cell>
          <cell r="E38">
            <v>0</v>
          </cell>
          <cell r="F38">
            <v>1089</v>
          </cell>
          <cell r="G38">
            <v>0</v>
          </cell>
          <cell r="H38">
            <v>0</v>
          </cell>
          <cell r="I38">
            <v>-252573</v>
          </cell>
          <cell r="J38">
            <v>0</v>
          </cell>
          <cell r="K38">
            <v>0</v>
          </cell>
          <cell r="L38">
            <v>-9.5599167297501897E-2</v>
          </cell>
          <cell r="M38">
            <v>-252573</v>
          </cell>
          <cell r="N38">
            <v>-9.7796939582156975E-2</v>
          </cell>
          <cell r="O38"/>
          <cell r="P38"/>
          <cell r="Q38">
            <v>2426.0789715335168</v>
          </cell>
          <cell r="R38"/>
          <cell r="S38">
            <v>-231.93112947658403</v>
          </cell>
          <cell r="T38"/>
          <cell r="U38">
            <v>-1.2547310370931113E-2</v>
          </cell>
          <cell r="V38">
            <v>-33149.993999999999</v>
          </cell>
          <cell r="W38">
            <v>0</v>
          </cell>
          <cell r="X38">
            <v>0</v>
          </cell>
          <cell r="Y38">
            <v>0</v>
          </cell>
          <cell r="Z38">
            <v>0</v>
          </cell>
          <cell r="AA38">
            <v>-253214.71506915573</v>
          </cell>
          <cell r="AB38">
            <v>-9.5842057179846979E-2</v>
          </cell>
        </row>
        <row r="39">
          <cell r="A39">
            <v>32</v>
          </cell>
          <cell r="B39">
            <v>1</v>
          </cell>
          <cell r="C39">
            <v>0</v>
          </cell>
          <cell r="D39">
            <v>2694000</v>
          </cell>
          <cell r="E39">
            <v>0</v>
          </cell>
          <cell r="F39">
            <v>1114</v>
          </cell>
          <cell r="G39">
            <v>0</v>
          </cell>
          <cell r="H39">
            <v>0</v>
          </cell>
          <cell r="I39">
            <v>-258371</v>
          </cell>
          <cell r="J39">
            <v>0</v>
          </cell>
          <cell r="K39">
            <v>0</v>
          </cell>
          <cell r="L39">
            <v>-9.5906087602078693E-2</v>
          </cell>
          <cell r="M39">
            <v>-258371</v>
          </cell>
          <cell r="N39">
            <v>-9.7741111744333878E-2</v>
          </cell>
          <cell r="O39"/>
          <cell r="P39"/>
          <cell r="Q39">
            <v>2418.3123877917415</v>
          </cell>
          <cell r="R39"/>
          <cell r="S39">
            <v>-231.93087971274687</v>
          </cell>
          <cell r="T39"/>
          <cell r="U39">
            <v>-1.3270227728285077E-2</v>
          </cell>
          <cell r="V39">
            <v>-35749.993499999997</v>
          </cell>
          <cell r="W39">
            <v>0</v>
          </cell>
          <cell r="X39">
            <v>0</v>
          </cell>
          <cell r="Y39">
            <v>0</v>
          </cell>
          <cell r="Z39">
            <v>0</v>
          </cell>
          <cell r="AA39">
            <v>-259012.71506915573</v>
          </cell>
          <cell r="AB39">
            <v>-9.6144289186769011E-2</v>
          </cell>
        </row>
        <row r="40">
          <cell r="A40">
            <v>33</v>
          </cell>
          <cell r="B40">
            <v>1</v>
          </cell>
          <cell r="C40">
            <v>0</v>
          </cell>
          <cell r="D40">
            <v>3115000</v>
          </cell>
          <cell r="E40">
            <v>0</v>
          </cell>
          <cell r="F40">
            <v>1224</v>
          </cell>
          <cell r="G40">
            <v>0</v>
          </cell>
          <cell r="H40">
            <v>0</v>
          </cell>
          <cell r="I40">
            <v>-283882</v>
          </cell>
          <cell r="J40">
            <v>0</v>
          </cell>
          <cell r="K40">
            <v>0</v>
          </cell>
          <cell r="L40">
            <v>-9.1133868378812197E-2</v>
          </cell>
          <cell r="M40">
            <v>-283882</v>
          </cell>
          <cell r="N40">
            <v>-9.7522991977447834E-2</v>
          </cell>
          <cell r="O40"/>
          <cell r="P40"/>
          <cell r="Q40">
            <v>2544.9346405228757</v>
          </cell>
          <cell r="R40"/>
          <cell r="S40">
            <v>-231.9297385620915</v>
          </cell>
          <cell r="T40"/>
          <cell r="U40">
            <v>-1.3146065008025683E-2</v>
          </cell>
          <cell r="V40">
            <v>-40949.9925</v>
          </cell>
          <cell r="W40">
            <v>0</v>
          </cell>
          <cell r="X40">
            <v>0</v>
          </cell>
          <cell r="Y40">
            <v>0</v>
          </cell>
          <cell r="Z40">
            <v>0</v>
          </cell>
          <cell r="AA40">
            <v>-284523.71506915573</v>
          </cell>
          <cell r="AB40">
            <v>-9.1339876426695263E-2</v>
          </cell>
        </row>
        <row r="41">
          <cell r="A41">
            <v>34</v>
          </cell>
          <cell r="B41">
            <v>1</v>
          </cell>
          <cell r="C41">
            <v>0</v>
          </cell>
          <cell r="D41">
            <v>3124000</v>
          </cell>
          <cell r="E41">
            <v>0</v>
          </cell>
          <cell r="F41">
            <v>1224</v>
          </cell>
          <cell r="G41">
            <v>0</v>
          </cell>
          <cell r="H41">
            <v>0</v>
          </cell>
          <cell r="I41">
            <v>-283882</v>
          </cell>
          <cell r="J41">
            <v>0</v>
          </cell>
          <cell r="K41">
            <v>0</v>
          </cell>
          <cell r="L41">
            <v>-9.0871318822023053E-2</v>
          </cell>
          <cell r="M41">
            <v>-283882</v>
          </cell>
          <cell r="N41">
            <v>-9.7309828380332974E-2</v>
          </cell>
          <cell r="O41"/>
          <cell r="P41"/>
          <cell r="Q41">
            <v>2552.2875816993464</v>
          </cell>
          <cell r="R41"/>
          <cell r="S41">
            <v>-231.9297385620915</v>
          </cell>
          <cell r="T41"/>
          <cell r="U41">
            <v>-1.2692059154929578E-2</v>
          </cell>
          <cell r="V41">
            <v>-39649.9928</v>
          </cell>
          <cell r="W41">
            <v>0</v>
          </cell>
          <cell r="X41">
            <v>0</v>
          </cell>
          <cell r="Y41">
            <v>0</v>
          </cell>
          <cell r="Z41">
            <v>0</v>
          </cell>
          <cell r="AA41">
            <v>-284523.71506915573</v>
          </cell>
          <cell r="AB41">
            <v>-9.1076733376810409E-2</v>
          </cell>
        </row>
        <row r="42">
          <cell r="A42">
            <v>35</v>
          </cell>
          <cell r="B42">
            <v>1</v>
          </cell>
          <cell r="C42">
            <v>0</v>
          </cell>
          <cell r="D42">
            <v>2918000</v>
          </cell>
          <cell r="E42">
            <v>0</v>
          </cell>
          <cell r="F42">
            <v>1214</v>
          </cell>
          <cell r="G42">
            <v>0</v>
          </cell>
          <cell r="H42">
            <v>0</v>
          </cell>
          <cell r="I42">
            <v>-281563</v>
          </cell>
          <cell r="J42">
            <v>0</v>
          </cell>
          <cell r="K42">
            <v>0</v>
          </cell>
          <cell r="L42">
            <v>-9.6491775188485257E-2</v>
          </cell>
          <cell r="M42">
            <v>-281563</v>
          </cell>
          <cell r="N42">
            <v>-9.7286052927759686E-2</v>
          </cell>
          <cell r="O42"/>
          <cell r="P42"/>
          <cell r="Q42">
            <v>2403.624382207578</v>
          </cell>
          <cell r="R42"/>
          <cell r="S42">
            <v>-231.92998352553542</v>
          </cell>
          <cell r="T42"/>
          <cell r="U42">
            <v>-1.2474295202193283E-2</v>
          </cell>
          <cell r="V42">
            <v>-36399.993399999999</v>
          </cell>
          <cell r="W42">
            <v>0</v>
          </cell>
          <cell r="X42">
            <v>0</v>
          </cell>
          <cell r="Y42">
            <v>0</v>
          </cell>
          <cell r="Z42">
            <v>0</v>
          </cell>
          <cell r="AA42">
            <v>-282204.71506915573</v>
          </cell>
          <cell r="AB42">
            <v>-9.6711691250567416E-2</v>
          </cell>
        </row>
        <row r="43">
          <cell r="A43">
            <v>36</v>
          </cell>
          <cell r="B43">
            <v>1</v>
          </cell>
          <cell r="C43">
            <v>0</v>
          </cell>
          <cell r="D43">
            <v>2790000</v>
          </cell>
          <cell r="E43">
            <v>0</v>
          </cell>
          <cell r="F43">
            <v>1164</v>
          </cell>
          <cell r="G43">
            <v>0</v>
          </cell>
          <cell r="H43">
            <v>0</v>
          </cell>
          <cell r="I43">
            <v>-269967</v>
          </cell>
          <cell r="J43">
            <v>0</v>
          </cell>
          <cell r="K43">
            <v>0</v>
          </cell>
          <cell r="L43">
            <v>-9.676236559139785E-2</v>
          </cell>
          <cell r="M43">
            <v>-269967</v>
          </cell>
          <cell r="N43">
            <v>-9.7271893866713185E-2</v>
          </cell>
          <cell r="O43"/>
          <cell r="P43"/>
          <cell r="Q43">
            <v>2396.9072164948452</v>
          </cell>
          <cell r="R43"/>
          <cell r="S43">
            <v>-231.93041237113403</v>
          </cell>
          <cell r="T43"/>
          <cell r="U43">
            <v>-1.3046592616487456E-2</v>
          </cell>
          <cell r="V43">
            <v>-36399.993399999999</v>
          </cell>
          <cell r="W43">
            <v>0</v>
          </cell>
          <cell r="X43">
            <v>0</v>
          </cell>
          <cell r="Y43">
            <v>0</v>
          </cell>
          <cell r="Z43">
            <v>0</v>
          </cell>
          <cell r="AA43">
            <v>-270608.71506915573</v>
          </cell>
          <cell r="AB43">
            <v>-9.6992370992528942E-2</v>
          </cell>
        </row>
        <row r="44">
          <cell r="A44">
            <v>37</v>
          </cell>
          <cell r="B44">
            <v>1</v>
          </cell>
          <cell r="C44">
            <v>0</v>
          </cell>
          <cell r="D44">
            <v>2940000</v>
          </cell>
          <cell r="E44">
            <v>0</v>
          </cell>
          <cell r="F44">
            <v>1214</v>
          </cell>
          <cell r="G44">
            <v>0</v>
          </cell>
          <cell r="H44">
            <v>0</v>
          </cell>
          <cell r="I44">
            <v>-281563</v>
          </cell>
          <cell r="J44">
            <v>0</v>
          </cell>
          <cell r="K44">
            <v>0</v>
          </cell>
          <cell r="L44">
            <v>-9.5769727891156467E-2</v>
          </cell>
          <cell r="M44">
            <v>-281563</v>
          </cell>
          <cell r="N44">
            <v>-9.7230281444629751E-2</v>
          </cell>
          <cell r="O44"/>
          <cell r="P44"/>
          <cell r="Q44">
            <v>2421.7462932454696</v>
          </cell>
          <cell r="R44"/>
          <cell r="S44">
            <v>-231.92998352553542</v>
          </cell>
          <cell r="T44"/>
          <cell r="U44">
            <v>-1.2380950136054421E-2</v>
          </cell>
          <cell r="V44">
            <v>-36399.993399999999</v>
          </cell>
          <cell r="W44">
            <v>0</v>
          </cell>
          <cell r="X44">
            <v>0</v>
          </cell>
          <cell r="Y44">
            <v>0</v>
          </cell>
          <cell r="Z44">
            <v>0</v>
          </cell>
          <cell r="AA44">
            <v>-282204.71506915573</v>
          </cell>
          <cell r="AB44">
            <v>-9.5987998322842091E-2</v>
          </cell>
        </row>
        <row r="45">
          <cell r="A45">
            <v>38</v>
          </cell>
          <cell r="B45">
            <v>1</v>
          </cell>
          <cell r="C45">
            <v>0</v>
          </cell>
          <cell r="D45">
            <v>3025000</v>
          </cell>
          <cell r="E45">
            <v>0</v>
          </cell>
          <cell r="F45">
            <v>1224</v>
          </cell>
          <cell r="G45">
            <v>0</v>
          </cell>
          <cell r="H45">
            <v>0</v>
          </cell>
          <cell r="I45">
            <v>-283882</v>
          </cell>
          <cell r="J45">
            <v>0</v>
          </cell>
          <cell r="K45">
            <v>0</v>
          </cell>
          <cell r="L45">
            <v>-9.3845289256198353E-2</v>
          </cell>
          <cell r="M45">
            <v>-283882</v>
          </cell>
          <cell r="N45">
            <v>-9.7136474403605844E-2</v>
          </cell>
          <cell r="O45"/>
          <cell r="P45"/>
          <cell r="Q45">
            <v>2471.4052287581699</v>
          </cell>
          <cell r="R45"/>
          <cell r="S45">
            <v>-231.9297385620915</v>
          </cell>
          <cell r="T45"/>
          <cell r="U45">
            <v>-1.2247931636363635E-2</v>
          </cell>
          <cell r="V45">
            <v>-37049.993199999997</v>
          </cell>
          <cell r="W45">
            <v>0</v>
          </cell>
          <cell r="X45">
            <v>0</v>
          </cell>
          <cell r="Y45">
            <v>0</v>
          </cell>
          <cell r="Z45">
            <v>0</v>
          </cell>
          <cell r="AA45">
            <v>-284523.71506915573</v>
          </cell>
          <cell r="AB45">
            <v>-9.4057426469142391E-2</v>
          </cell>
        </row>
        <row r="46">
          <cell r="A46">
            <v>39</v>
          </cell>
          <cell r="B46">
            <v>1</v>
          </cell>
          <cell r="C46">
            <v>0</v>
          </cell>
          <cell r="D46">
            <v>3050000</v>
          </cell>
          <cell r="E46">
            <v>0</v>
          </cell>
          <cell r="F46">
            <v>1224</v>
          </cell>
          <cell r="G46">
            <v>0</v>
          </cell>
          <cell r="H46">
            <v>0</v>
          </cell>
          <cell r="I46">
            <v>-283882</v>
          </cell>
          <cell r="J46">
            <v>0</v>
          </cell>
          <cell r="K46">
            <v>0</v>
          </cell>
          <cell r="L46">
            <v>-9.3076065573770489E-2</v>
          </cell>
          <cell r="M46">
            <v>-283882</v>
          </cell>
          <cell r="N46">
            <v>-9.702610377341675E-2</v>
          </cell>
          <cell r="O46"/>
          <cell r="P46"/>
          <cell r="Q46">
            <v>2491.830065359477</v>
          </cell>
          <cell r="R46"/>
          <cell r="S46">
            <v>-231.9297385620915</v>
          </cell>
          <cell r="T46"/>
          <cell r="U46">
            <v>-1.214753875409836E-2</v>
          </cell>
          <cell r="V46">
            <v>-37049.993199999997</v>
          </cell>
          <cell r="W46">
            <v>0</v>
          </cell>
          <cell r="X46">
            <v>0</v>
          </cell>
          <cell r="Y46">
            <v>0</v>
          </cell>
          <cell r="Z46">
            <v>0</v>
          </cell>
          <cell r="AA46">
            <v>-284523.71506915573</v>
          </cell>
          <cell r="AB46">
            <v>-9.3286463957100246E-2</v>
          </cell>
        </row>
        <row r="47">
          <cell r="A47">
            <v>40</v>
          </cell>
          <cell r="B47">
            <v>1</v>
          </cell>
          <cell r="C47">
            <v>0</v>
          </cell>
          <cell r="D47">
            <v>2779000</v>
          </cell>
          <cell r="E47">
            <v>0</v>
          </cell>
          <cell r="F47">
            <v>1164</v>
          </cell>
          <cell r="G47">
            <v>0</v>
          </cell>
          <cell r="H47">
            <v>0</v>
          </cell>
          <cell r="I47">
            <v>-269967</v>
          </cell>
          <cell r="J47">
            <v>0</v>
          </cell>
          <cell r="K47">
            <v>0</v>
          </cell>
          <cell r="L47">
            <v>-9.7145376034544803E-2</v>
          </cell>
          <cell r="M47">
            <v>-269967</v>
          </cell>
          <cell r="N47">
            <v>-9.7028986389529073E-2</v>
          </cell>
          <cell r="O47"/>
          <cell r="P47"/>
          <cell r="Q47">
            <v>2387.4570446735397</v>
          </cell>
          <cell r="R47"/>
          <cell r="S47">
            <v>-231.93041237113403</v>
          </cell>
          <cell r="T47"/>
          <cell r="U47">
            <v>-1.333213141417776E-2</v>
          </cell>
          <cell r="V47">
            <v>-37049.993199999997</v>
          </cell>
          <cell r="W47">
            <v>0</v>
          </cell>
          <cell r="X47">
            <v>0</v>
          </cell>
          <cell r="Y47">
            <v>0</v>
          </cell>
          <cell r="Z47">
            <v>0</v>
          </cell>
          <cell r="AA47">
            <v>-270608.71506915573</v>
          </cell>
          <cell r="AB47">
            <v>-9.7376291856479211E-2</v>
          </cell>
        </row>
        <row r="48">
          <cell r="A48">
            <v>41</v>
          </cell>
          <cell r="B48">
            <v>1</v>
          </cell>
          <cell r="C48">
            <v>0</v>
          </cell>
          <cell r="D48">
            <v>2963000</v>
          </cell>
          <cell r="E48">
            <v>0</v>
          </cell>
          <cell r="F48">
            <v>1224</v>
          </cell>
          <cell r="G48">
            <v>0</v>
          </cell>
          <cell r="H48">
            <v>0</v>
          </cell>
          <cell r="I48">
            <v>-283882</v>
          </cell>
          <cell r="J48">
            <v>0</v>
          </cell>
          <cell r="K48">
            <v>0</v>
          </cell>
          <cell r="L48">
            <v>-9.5808977387782657E-2</v>
          </cell>
          <cell r="M48">
            <v>-283882</v>
          </cell>
          <cell r="N48">
            <v>-9.6998338250754573E-2</v>
          </cell>
          <cell r="O48"/>
          <cell r="P48"/>
          <cell r="Q48">
            <v>2420.751633986928</v>
          </cell>
          <cell r="R48"/>
          <cell r="S48">
            <v>-231.9297385620915</v>
          </cell>
          <cell r="T48"/>
          <cell r="U48">
            <v>-1.294296085048937E-2</v>
          </cell>
          <cell r="V48">
            <v>-38349.993000000002</v>
          </cell>
          <cell r="W48">
            <v>0</v>
          </cell>
          <cell r="X48">
            <v>0</v>
          </cell>
          <cell r="Y48">
            <v>0</v>
          </cell>
          <cell r="Z48">
            <v>0</v>
          </cell>
          <cell r="AA48">
            <v>-284523.71506915573</v>
          </cell>
          <cell r="AB48">
            <v>-9.60255535164211E-2</v>
          </cell>
        </row>
        <row r="49">
          <cell r="A49">
            <v>42</v>
          </cell>
          <cell r="B49">
            <v>1</v>
          </cell>
          <cell r="C49">
            <v>0</v>
          </cell>
          <cell r="D49">
            <v>3047000</v>
          </cell>
          <cell r="E49">
            <v>0</v>
          </cell>
          <cell r="F49">
            <v>1224</v>
          </cell>
          <cell r="G49">
            <v>0</v>
          </cell>
          <cell r="H49">
            <v>0</v>
          </cell>
          <cell r="I49">
            <v>-283882</v>
          </cell>
          <cell r="J49">
            <v>0</v>
          </cell>
          <cell r="K49">
            <v>0</v>
          </cell>
          <cell r="L49">
            <v>-9.3167705940269116E-2</v>
          </cell>
          <cell r="M49">
            <v>-283882</v>
          </cell>
          <cell r="N49">
            <v>-9.6901871978180912E-2</v>
          </cell>
          <cell r="O49"/>
          <cell r="P49"/>
          <cell r="Q49">
            <v>2489.3790849673201</v>
          </cell>
          <cell r="R49"/>
          <cell r="S49">
            <v>-231.9297385620915</v>
          </cell>
          <cell r="T49"/>
          <cell r="U49">
            <v>-1.3439446176567116E-2</v>
          </cell>
          <cell r="V49">
            <v>-40949.9925</v>
          </cell>
          <cell r="W49">
            <v>0</v>
          </cell>
          <cell r="X49">
            <v>0</v>
          </cell>
          <cell r="Y49">
            <v>0</v>
          </cell>
          <cell r="Z49">
            <v>0</v>
          </cell>
          <cell r="AA49">
            <v>-284523.71506915573</v>
          </cell>
          <cell r="AB49">
            <v>-9.3378311476585402E-2</v>
          </cell>
        </row>
        <row r="50">
          <cell r="A50">
            <v>43</v>
          </cell>
          <cell r="B50">
            <v>1</v>
          </cell>
          <cell r="C50">
            <v>0</v>
          </cell>
          <cell r="D50">
            <v>2983000</v>
          </cell>
          <cell r="E50">
            <v>0</v>
          </cell>
          <cell r="F50">
            <v>1224</v>
          </cell>
          <cell r="G50">
            <v>0</v>
          </cell>
          <cell r="H50">
            <v>0</v>
          </cell>
          <cell r="I50">
            <v>-283882</v>
          </cell>
          <cell r="J50">
            <v>0</v>
          </cell>
          <cell r="K50">
            <v>0</v>
          </cell>
          <cell r="L50">
            <v>-9.5166610794502185E-2</v>
          </cell>
          <cell r="M50">
            <v>-283882</v>
          </cell>
          <cell r="N50">
            <v>-9.6860120343931988E-2</v>
          </cell>
          <cell r="O50"/>
          <cell r="P50"/>
          <cell r="Q50">
            <v>2437.0915032679741</v>
          </cell>
          <cell r="R50"/>
          <cell r="S50">
            <v>-231.9297385620915</v>
          </cell>
          <cell r="T50"/>
          <cell r="U50">
            <v>-1.3509886925913511E-2</v>
          </cell>
          <cell r="V50">
            <v>-40299.992700000003</v>
          </cell>
          <cell r="W50">
            <v>0</v>
          </cell>
          <cell r="X50">
            <v>0</v>
          </cell>
          <cell r="Y50">
            <v>0</v>
          </cell>
          <cell r="Z50">
            <v>0</v>
          </cell>
          <cell r="AA50">
            <v>-284523.71506915573</v>
          </cell>
          <cell r="AB50">
            <v>-9.5381734853890621E-2</v>
          </cell>
        </row>
        <row r="51">
          <cell r="A51">
            <v>44</v>
          </cell>
          <cell r="B51">
            <v>1</v>
          </cell>
          <cell r="C51">
            <v>0</v>
          </cell>
          <cell r="D51">
            <v>3059000</v>
          </cell>
          <cell r="E51">
            <v>0</v>
          </cell>
          <cell r="F51">
            <v>1464</v>
          </cell>
          <cell r="G51">
            <v>0</v>
          </cell>
          <cell r="H51">
            <v>0</v>
          </cell>
          <cell r="I51">
            <v>-339543</v>
          </cell>
          <cell r="J51">
            <v>0</v>
          </cell>
          <cell r="K51">
            <v>0</v>
          </cell>
          <cell r="L51">
            <v>-0.11099803857469762</v>
          </cell>
          <cell r="M51">
            <v>-339543</v>
          </cell>
          <cell r="N51">
            <v>-9.7200555743602257E-2</v>
          </cell>
          <cell r="O51"/>
          <cell r="P51"/>
          <cell r="Q51">
            <v>2089.4808743169401</v>
          </cell>
          <cell r="R51"/>
          <cell r="S51">
            <v>-231.92827868852459</v>
          </cell>
          <cell r="T51"/>
          <cell r="U51">
            <v>-1.2961749852893101E-2</v>
          </cell>
          <cell r="V51">
            <v>-39649.9928</v>
          </cell>
          <cell r="W51">
            <v>0</v>
          </cell>
          <cell r="X51">
            <v>0</v>
          </cell>
          <cell r="Y51">
            <v>0</v>
          </cell>
          <cell r="Z51">
            <v>0</v>
          </cell>
          <cell r="AA51">
            <v>-340184.71506915573</v>
          </cell>
          <cell r="AB51">
            <v>-0.1112078179369584</v>
          </cell>
        </row>
        <row r="52">
          <cell r="A52">
            <v>45</v>
          </cell>
          <cell r="B52">
            <v>1</v>
          </cell>
          <cell r="C52">
            <v>0</v>
          </cell>
          <cell r="D52">
            <v>3097000</v>
          </cell>
          <cell r="E52">
            <v>0</v>
          </cell>
          <cell r="F52">
            <v>1264</v>
          </cell>
          <cell r="G52">
            <v>0</v>
          </cell>
          <cell r="H52">
            <v>0</v>
          </cell>
          <cell r="I52">
            <v>-293159</v>
          </cell>
          <cell r="J52">
            <v>0</v>
          </cell>
          <cell r="K52">
            <v>0</v>
          </cell>
          <cell r="L52">
            <v>-9.4659024862770419E-2</v>
          </cell>
          <cell r="M52">
            <v>-293159</v>
          </cell>
          <cell r="N52">
            <v>-9.7140071003734618E-2</v>
          </cell>
          <cell r="O52"/>
          <cell r="P52"/>
          <cell r="Q52">
            <v>2450.1582278481014</v>
          </cell>
          <cell r="R52"/>
          <cell r="S52">
            <v>-231.92958860759492</v>
          </cell>
          <cell r="T52"/>
          <cell r="U52">
            <v>-1.3222470939618987E-2</v>
          </cell>
          <cell r="V52">
            <v>-40949.9925</v>
          </cell>
          <cell r="W52">
            <v>0</v>
          </cell>
          <cell r="X52">
            <v>0</v>
          </cell>
          <cell r="Y52">
            <v>0</v>
          </cell>
          <cell r="Z52">
            <v>0</v>
          </cell>
          <cell r="AA52">
            <v>-293800.71506915573</v>
          </cell>
          <cell r="AB52">
            <v>-9.4866230245126165E-2</v>
          </cell>
        </row>
        <row r="53">
          <cell r="A53">
            <v>46</v>
          </cell>
          <cell r="B53">
            <v>1</v>
          </cell>
          <cell r="C53">
            <v>0</v>
          </cell>
          <cell r="D53">
            <v>3120000</v>
          </cell>
          <cell r="E53">
            <v>0</v>
          </cell>
          <cell r="F53">
            <v>1264</v>
          </cell>
          <cell r="G53">
            <v>0</v>
          </cell>
          <cell r="H53">
            <v>0</v>
          </cell>
          <cell r="I53">
            <v>-293159</v>
          </cell>
          <cell r="J53">
            <v>0</v>
          </cell>
          <cell r="K53">
            <v>0</v>
          </cell>
          <cell r="L53">
            <v>-9.3961217948717951E-2</v>
          </cell>
          <cell r="M53">
            <v>-293159</v>
          </cell>
          <cell r="N53">
            <v>-9.7065641556726256E-2</v>
          </cell>
          <cell r="O53"/>
          <cell r="P53"/>
          <cell r="Q53">
            <v>2468.3544303797466</v>
          </cell>
          <cell r="R53"/>
          <cell r="S53">
            <v>-231.92958860759492</v>
          </cell>
          <cell r="T53"/>
          <cell r="U53">
            <v>-1.3124997596153846E-2</v>
          </cell>
          <cell r="V53">
            <v>-40949.9925</v>
          </cell>
          <cell r="W53">
            <v>0</v>
          </cell>
          <cell r="X53">
            <v>0</v>
          </cell>
          <cell r="Y53">
            <v>0</v>
          </cell>
          <cell r="Z53">
            <v>0</v>
          </cell>
          <cell r="AA53">
            <v>-293800.71506915573</v>
          </cell>
          <cell r="AB53">
            <v>-9.4166895855498631E-2</v>
          </cell>
        </row>
        <row r="54">
          <cell r="A54">
            <v>47</v>
          </cell>
          <cell r="B54">
            <v>1</v>
          </cell>
          <cell r="C54">
            <v>0</v>
          </cell>
          <cell r="D54">
            <v>3166000</v>
          </cell>
          <cell r="E54">
            <v>0</v>
          </cell>
          <cell r="F54">
            <v>1264</v>
          </cell>
          <cell r="G54">
            <v>0</v>
          </cell>
          <cell r="H54">
            <v>0</v>
          </cell>
          <cell r="I54">
            <v>-293159</v>
          </cell>
          <cell r="J54">
            <v>0</v>
          </cell>
          <cell r="K54">
            <v>0</v>
          </cell>
          <cell r="L54">
            <v>-9.2596020214782054E-2</v>
          </cell>
          <cell r="M54">
            <v>-293159</v>
          </cell>
          <cell r="N54">
            <v>-9.6961911743146167E-2</v>
          </cell>
          <cell r="O54"/>
          <cell r="P54"/>
          <cell r="Q54">
            <v>2504.746835443038</v>
          </cell>
          <cell r="R54"/>
          <cell r="S54">
            <v>-231.92958860759492</v>
          </cell>
          <cell r="T54"/>
          <cell r="U54">
            <v>-1.3755524984207202E-2</v>
          </cell>
          <cell r="V54">
            <v>-43549.992100000003</v>
          </cell>
          <cell r="W54">
            <v>0</v>
          </cell>
          <cell r="X54">
            <v>0</v>
          </cell>
          <cell r="Y54">
            <v>0</v>
          </cell>
          <cell r="Z54">
            <v>0</v>
          </cell>
          <cell r="AA54">
            <v>-293800.71506915573</v>
          </cell>
          <cell r="AB54">
            <v>-9.2798709750207112E-2</v>
          </cell>
        </row>
        <row r="55">
          <cell r="A55">
            <v>48</v>
          </cell>
          <cell r="B55">
            <v>1</v>
          </cell>
          <cell r="C55">
            <v>0</v>
          </cell>
          <cell r="D55">
            <v>3493000</v>
          </cell>
          <cell r="E55">
            <v>0</v>
          </cell>
          <cell r="F55">
            <v>1314</v>
          </cell>
          <cell r="G55">
            <v>0</v>
          </cell>
          <cell r="H55">
            <v>0</v>
          </cell>
          <cell r="I55">
            <v>-304755</v>
          </cell>
          <cell r="J55">
            <v>0</v>
          </cell>
          <cell r="K55">
            <v>0</v>
          </cell>
          <cell r="L55">
            <v>-8.7247351846550247E-2</v>
          </cell>
          <cell r="M55">
            <v>-304755</v>
          </cell>
          <cell r="N55">
            <v>-9.6719382759286127E-2</v>
          </cell>
          <cell r="O55"/>
          <cell r="P55"/>
          <cell r="Q55">
            <v>2658.2952815829526</v>
          </cell>
          <cell r="R55"/>
          <cell r="S55">
            <v>-231.92922374429224</v>
          </cell>
          <cell r="T55"/>
          <cell r="U55">
            <v>-1.4700827540795876E-2</v>
          </cell>
          <cell r="V55">
            <v>-51349.990599999997</v>
          </cell>
          <cell r="W55">
            <v>0</v>
          </cell>
          <cell r="X55">
            <v>0</v>
          </cell>
          <cell r="Y55">
            <v>0</v>
          </cell>
          <cell r="Z55">
            <v>0</v>
          </cell>
          <cell r="AA55">
            <v>-305396.71506915573</v>
          </cell>
          <cell r="AB55">
            <v>-8.7431066438349761E-2</v>
          </cell>
        </row>
        <row r="56">
          <cell r="A56">
            <v>49</v>
          </cell>
          <cell r="B56">
            <v>1</v>
          </cell>
          <cell r="C56">
            <v>0</v>
          </cell>
          <cell r="D56">
            <v>3820000</v>
          </cell>
          <cell r="E56">
            <v>0</v>
          </cell>
          <cell r="F56">
            <v>1439</v>
          </cell>
          <cell r="G56">
            <v>0</v>
          </cell>
          <cell r="H56">
            <v>0</v>
          </cell>
          <cell r="I56">
            <v>-333745</v>
          </cell>
          <cell r="J56">
            <v>0</v>
          </cell>
          <cell r="K56">
            <v>0</v>
          </cell>
          <cell r="L56">
            <v>-8.7367801047120414E-2</v>
          </cell>
          <cell r="M56">
            <v>-333745</v>
          </cell>
          <cell r="N56">
            <v>-9.6470845247785819E-2</v>
          </cell>
          <cell r="O56"/>
          <cell r="P56"/>
          <cell r="Q56">
            <v>2654.6212647671996</v>
          </cell>
          <cell r="R56"/>
          <cell r="S56">
            <v>-231.92842251563584</v>
          </cell>
          <cell r="T56"/>
          <cell r="U56">
            <v>-1.3442405916230365E-2</v>
          </cell>
          <cell r="V56">
            <v>-51349.990599999997</v>
          </cell>
          <cell r="W56">
            <v>0</v>
          </cell>
          <cell r="X56">
            <v>0</v>
          </cell>
          <cell r="Y56">
            <v>0</v>
          </cell>
          <cell r="Z56">
            <v>0</v>
          </cell>
          <cell r="AA56">
            <v>-334386.71506915573</v>
          </cell>
          <cell r="AB56">
            <v>-8.7535789285119306E-2</v>
          </cell>
        </row>
        <row r="57">
          <cell r="A57">
            <v>50</v>
          </cell>
          <cell r="B57">
            <v>1</v>
          </cell>
          <cell r="C57">
            <v>0</v>
          </cell>
          <cell r="D57">
            <v>4203000</v>
          </cell>
          <cell r="E57">
            <v>0</v>
          </cell>
          <cell r="F57">
            <v>1589</v>
          </cell>
          <cell r="G57">
            <v>0</v>
          </cell>
          <cell r="H57">
            <v>0</v>
          </cell>
          <cell r="I57">
            <v>-368533</v>
          </cell>
          <cell r="J57">
            <v>0</v>
          </cell>
          <cell r="K57">
            <v>0</v>
          </cell>
          <cell r="L57">
            <v>-8.7683321437068765E-2</v>
          </cell>
          <cell r="M57">
            <v>-368533</v>
          </cell>
          <cell r="N57">
            <v>-9.6221183484750158E-2</v>
          </cell>
          <cell r="O57"/>
          <cell r="P57"/>
          <cell r="Q57">
            <v>2645.059786028949</v>
          </cell>
          <cell r="R57"/>
          <cell r="S57">
            <v>-231.92762743864066</v>
          </cell>
          <cell r="T57"/>
          <cell r="U57">
            <v>-1.314536995003569E-2</v>
          </cell>
          <cell r="V57">
            <v>-55249.9899</v>
          </cell>
          <cell r="W57">
            <v>0</v>
          </cell>
          <cell r="X57">
            <v>0</v>
          </cell>
          <cell r="Y57">
            <v>0</v>
          </cell>
          <cell r="Z57">
            <v>0</v>
          </cell>
          <cell r="AA57">
            <v>-369174.71506915573</v>
          </cell>
          <cell r="AB57">
            <v>-8.7836001681930939E-2</v>
          </cell>
        </row>
        <row r="58">
          <cell r="A58">
            <v>51</v>
          </cell>
          <cell r="B58">
            <v>1</v>
          </cell>
          <cell r="C58">
            <v>0</v>
          </cell>
          <cell r="D58">
            <v>5958000</v>
          </cell>
          <cell r="E58">
            <v>0</v>
          </cell>
          <cell r="F58">
            <v>2089</v>
          </cell>
          <cell r="G58">
            <v>0</v>
          </cell>
          <cell r="H58">
            <v>0</v>
          </cell>
          <cell r="I58">
            <v>-484493</v>
          </cell>
          <cell r="J58">
            <v>0</v>
          </cell>
          <cell r="K58">
            <v>0</v>
          </cell>
          <cell r="L58">
            <v>-8.1318059751594493E-2</v>
          </cell>
          <cell r="M58">
            <v>-484493</v>
          </cell>
          <cell r="N58">
            <v>-9.5644209650798603E-2</v>
          </cell>
          <cell r="O58"/>
          <cell r="P58"/>
          <cell r="Q58">
            <v>2852.0823360459549</v>
          </cell>
          <cell r="R58"/>
          <cell r="S58">
            <v>-231.92580181905217</v>
          </cell>
          <cell r="T58"/>
          <cell r="U58">
            <v>-9.9278263175562268E-3</v>
          </cell>
          <cell r="V58">
            <v>-59149.989199999996</v>
          </cell>
          <cell r="W58">
            <v>0</v>
          </cell>
          <cell r="X58">
            <v>0</v>
          </cell>
          <cell r="Y58">
            <v>0</v>
          </cell>
          <cell r="Z58">
            <v>0</v>
          </cell>
          <cell r="AA58">
            <v>-485134.71506915573</v>
          </cell>
          <cell r="AB58">
            <v>-8.1425766208317513E-2</v>
          </cell>
        </row>
        <row r="59">
          <cell r="A59">
            <v>52</v>
          </cell>
          <cell r="B59">
            <v>1</v>
          </cell>
          <cell r="C59">
            <v>0</v>
          </cell>
          <cell r="D59">
            <v>2815000</v>
          </cell>
          <cell r="E59">
            <v>0</v>
          </cell>
          <cell r="F59">
            <v>1414</v>
          </cell>
          <cell r="G59">
            <v>0</v>
          </cell>
          <cell r="H59">
            <v>0</v>
          </cell>
          <cell r="I59">
            <v>-327947</v>
          </cell>
          <cell r="J59">
            <v>0</v>
          </cell>
          <cell r="K59">
            <v>0</v>
          </cell>
          <cell r="L59">
            <v>-0.11649982238010657</v>
          </cell>
          <cell r="M59">
            <v>-327947</v>
          </cell>
          <cell r="N59">
            <v>-9.6018843844322924E-2</v>
          </cell>
          <cell r="O59"/>
          <cell r="P59"/>
          <cell r="Q59">
            <v>1990.8062234794909</v>
          </cell>
          <cell r="R59"/>
          <cell r="S59">
            <v>-231.92857142857142</v>
          </cell>
          <cell r="T59"/>
          <cell r="U59">
            <v>-1.2699820071047956E-2</v>
          </cell>
          <cell r="V59">
            <v>-35749.993499999997</v>
          </cell>
          <cell r="W59">
            <v>0</v>
          </cell>
          <cell r="X59">
            <v>0</v>
          </cell>
          <cell r="Y59">
            <v>0</v>
          </cell>
          <cell r="Z59">
            <v>0</v>
          </cell>
          <cell r="AA59">
            <v>-328588.71506915573</v>
          </cell>
          <cell r="AB59">
            <v>-0.11672778510449582</v>
          </cell>
        </row>
        <row r="60">
          <cell r="A60">
            <v>53</v>
          </cell>
          <cell r="B60">
            <v>1</v>
          </cell>
          <cell r="C60">
            <v>0</v>
          </cell>
          <cell r="D60">
            <v>1091798</v>
          </cell>
          <cell r="E60">
            <v>0</v>
          </cell>
          <cell r="F60">
            <v>364</v>
          </cell>
          <cell r="G60">
            <v>0</v>
          </cell>
          <cell r="H60">
            <v>0</v>
          </cell>
          <cell r="I60">
            <v>-84431</v>
          </cell>
          <cell r="J60">
            <v>0</v>
          </cell>
          <cell r="K60">
            <v>0</v>
          </cell>
          <cell r="L60">
            <v>-7.7332070584485407E-2</v>
          </cell>
          <cell r="M60">
            <v>-84431</v>
          </cell>
          <cell r="N60">
            <v>-9.5889553106062245E-2</v>
          </cell>
          <cell r="O60"/>
          <cell r="P60"/>
          <cell r="Q60">
            <v>2999.4450549450548</v>
          </cell>
          <cell r="R60"/>
          <cell r="S60">
            <v>-231.9532967032967</v>
          </cell>
          <cell r="T60"/>
          <cell r="U60">
            <v>-1.9358315457621282E-2</v>
          </cell>
          <cell r="V60">
            <v>-21135.3701</v>
          </cell>
          <cell r="W60">
            <v>0</v>
          </cell>
          <cell r="X60">
            <v>0</v>
          </cell>
          <cell r="Y60">
            <v>0</v>
          </cell>
          <cell r="Z60">
            <v>0</v>
          </cell>
          <cell r="AA60">
            <v>-85072.715069155747</v>
          </cell>
          <cell r="AB60">
            <v>-7.7919830471530213E-2</v>
          </cell>
        </row>
        <row r="61">
          <cell r="A61">
            <v>0</v>
          </cell>
          <cell r="B61">
            <v>1</v>
          </cell>
          <cell r="C61">
            <v>0</v>
          </cell>
          <cell r="D61">
            <v>0</v>
          </cell>
          <cell r="E61">
            <v>0</v>
          </cell>
          <cell r="F61">
            <v>0</v>
          </cell>
          <cell r="G61"/>
          <cell r="H61">
            <v>0</v>
          </cell>
          <cell r="I61">
            <v>0</v>
          </cell>
          <cell r="J61"/>
          <cell r="K61">
            <v>0</v>
          </cell>
          <cell r="L61"/>
          <cell r="M61" t="e">
            <v>#VALUE!</v>
          </cell>
          <cell r="N61">
            <v>-9.5889553106062245E-2</v>
          </cell>
          <cell r="O61"/>
          <cell r="P61"/>
          <cell r="Q61"/>
          <cell r="R61"/>
          <cell r="S61"/>
          <cell r="T61"/>
          <cell r="U61">
            <v>0</v>
          </cell>
          <cell r="V61">
            <v>0</v>
          </cell>
          <cell r="W61">
            <v>0</v>
          </cell>
          <cell r="X61">
            <v>0</v>
          </cell>
          <cell r="Y61">
            <v>0</v>
          </cell>
          <cell r="Z61">
            <v>0</v>
          </cell>
          <cell r="AA61">
            <v>0</v>
          </cell>
          <cell r="AB61"/>
        </row>
      </sheetData>
      <sheetData sheetId="5"/>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rterte_svinntall"/>
    </sheetNames>
    <sheetDataSet>
      <sheetData sheetId="0"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9.xml"/><Relationship Id="rId3" Type="http://schemas.openxmlformats.org/officeDocument/2006/relationships/vmlDrawing" Target="../drawings/vmlDrawing1.vml"/><Relationship Id="rId21" Type="http://schemas.openxmlformats.org/officeDocument/2006/relationships/control" Target="../activeX/activeX10.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3.xml"/><Relationship Id="rId50" Type="http://schemas.openxmlformats.org/officeDocument/2006/relationships/image" Target="../media/image23.emf"/><Relationship Id="rId7" Type="http://schemas.openxmlformats.org/officeDocument/2006/relationships/image" Target="../media/image2.emf"/><Relationship Id="rId12" Type="http://schemas.openxmlformats.org/officeDocument/2006/relationships/image" Target="../media/image4.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7.emf"/><Relationship Id="rId46" Type="http://schemas.openxmlformats.org/officeDocument/2006/relationships/image" Target="../media/image21.emf"/><Relationship Id="rId2" Type="http://schemas.openxmlformats.org/officeDocument/2006/relationships/drawing" Target="../drawings/drawing2.xml"/><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4.xml"/><Relationship Id="rId41"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8.xml"/><Relationship Id="rId40" Type="http://schemas.openxmlformats.org/officeDocument/2006/relationships/image" Target="../media/image18.emf"/><Relationship Id="rId45" Type="http://schemas.openxmlformats.org/officeDocument/2006/relationships/control" Target="../activeX/activeX22.xml"/><Relationship Id="rId5" Type="http://schemas.openxmlformats.org/officeDocument/2006/relationships/image" Target="../media/image1.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4.xml"/><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 Id="rId43" Type="http://schemas.openxmlformats.org/officeDocument/2006/relationships/control" Target="../activeX/activeX21.xml"/><Relationship Id="rId48" Type="http://schemas.openxmlformats.org/officeDocument/2006/relationships/image" Target="../media/image22.emf"/><Relationship Id="rId8" Type="http://schemas.openxmlformats.org/officeDocument/2006/relationships/control" Target="../activeX/activeX3.xml"/><Relationship Id="rId51"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6.vml"/><Relationship Id="rId7" Type="http://schemas.openxmlformats.org/officeDocument/2006/relationships/ctrlProp" Target="../ctrlProps/ctrlProp10.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8.vml"/><Relationship Id="rId7" Type="http://schemas.openxmlformats.org/officeDocument/2006/relationships/ctrlProp" Target="../ctrlProps/ctrlProp18.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omments" Target="../comments2.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27.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31.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20.bin"/><Relationship Id="rId1" Type="http://schemas.openxmlformats.org/officeDocument/2006/relationships/hyperlink" Target="http://eigilrognan.com/support" TargetMode="External"/><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vmlDrawing" Target="../drawings/vmlDrawing12.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1.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3.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4.bin"/><Relationship Id="rId1" Type="http://schemas.openxmlformats.org/officeDocument/2006/relationships/hyperlink" Target="http://eigilrognan.com/support"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40"/>
  <sheetViews>
    <sheetView topLeftCell="A7" workbookViewId="0">
      <selection activeCell="L36" sqref="L36"/>
    </sheetView>
  </sheetViews>
  <sheetFormatPr baseColWidth="10" defaultColWidth="9.140625" defaultRowHeight="15"/>
  <cols>
    <col min="1" max="1" width="10.140625" bestFit="1" customWidth="1"/>
  </cols>
  <sheetData>
    <row r="1" spans="1:1" s="78" customFormat="1">
      <c r="A1" s="78" t="s">
        <v>36</v>
      </c>
    </row>
    <row r="2" spans="1:1">
      <c r="A2" s="587" t="s">
        <v>467</v>
      </c>
    </row>
    <row r="3" spans="1:1" s="78" customFormat="1">
      <c r="A3" s="78" t="s">
        <v>37</v>
      </c>
    </row>
    <row r="4" spans="1:1">
      <c r="A4" t="s">
        <v>468</v>
      </c>
    </row>
    <row r="5" spans="1:1" s="78" customFormat="1">
      <c r="A5" s="78" t="s">
        <v>38</v>
      </c>
    </row>
    <row r="6" spans="1:1">
      <c r="A6" t="s">
        <v>471</v>
      </c>
    </row>
    <row r="7" spans="1:1" s="78" customFormat="1">
      <c r="A7" s="78" t="s">
        <v>411</v>
      </c>
    </row>
    <row r="8" spans="1:1">
      <c r="A8" t="s">
        <v>412</v>
      </c>
    </row>
    <row r="9" spans="1:1">
      <c r="A9" s="78" t="s">
        <v>413</v>
      </c>
    </row>
    <row r="10" spans="1:1">
      <c r="A10" s="612" t="s">
        <v>442</v>
      </c>
    </row>
    <row r="11" spans="1:1">
      <c r="A11" s="78" t="s">
        <v>414</v>
      </c>
    </row>
    <row r="12" spans="1:1">
      <c r="A12" t="b">
        <v>1</v>
      </c>
    </row>
    <row r="13" spans="1:1">
      <c r="A13" s="78" t="s">
        <v>415</v>
      </c>
    </row>
    <row r="14" spans="1:1">
      <c r="A14" t="s">
        <v>416</v>
      </c>
    </row>
    <row r="15" spans="1:1">
      <c r="A15" s="78" t="s">
        <v>417</v>
      </c>
    </row>
    <row r="16" spans="1:1">
      <c r="A16" s="376">
        <v>-0.01</v>
      </c>
    </row>
    <row r="17" spans="1:1">
      <c r="A17" s="78" t="s">
        <v>418</v>
      </c>
    </row>
    <row r="18" spans="1:1">
      <c r="A18" s="75">
        <v>-2E-3</v>
      </c>
    </row>
    <row r="19" spans="1:1">
      <c r="A19" s="78" t="s">
        <v>419</v>
      </c>
    </row>
    <row r="20" spans="1:1">
      <c r="A20" s="75">
        <v>-2E-3</v>
      </c>
    </row>
    <row r="21" spans="1:1">
      <c r="A21" s="78" t="s">
        <v>420</v>
      </c>
    </row>
    <row r="22" spans="1:1">
      <c r="A22" t="str">
        <f>MID(A8,(SEARCH("Source=",A8,1)+7),(SEARCH("\fokusx",A8,1))-(SEARCH("Source=",A8,1)+7))</f>
        <v>r:\Fellesområde\FX4</v>
      </c>
    </row>
    <row r="23" spans="1:1">
      <c r="A23" s="78" t="s">
        <v>411</v>
      </c>
    </row>
    <row r="24" spans="1:1">
      <c r="A24" t="s">
        <v>421</v>
      </c>
    </row>
    <row r="25" spans="1:1">
      <c r="A25" s="78" t="s">
        <v>422</v>
      </c>
    </row>
    <row r="26" spans="1:1">
      <c r="A26" s="656" t="s">
        <v>391</v>
      </c>
    </row>
    <row r="27" spans="1:1">
      <c r="A27" s="656" t="s">
        <v>386</v>
      </c>
    </row>
    <row r="28" spans="1:1">
      <c r="A28" s="656" t="s">
        <v>385</v>
      </c>
    </row>
    <row r="29" spans="1:1">
      <c r="A29" s="656" t="s">
        <v>387</v>
      </c>
    </row>
    <row r="30" spans="1:1">
      <c r="A30" s="656" t="s">
        <v>388</v>
      </c>
    </row>
    <row r="31" spans="1:1">
      <c r="A31" s="656" t="s">
        <v>295</v>
      </c>
    </row>
    <row r="34" spans="1:1">
      <c r="A34" s="78" t="s">
        <v>432</v>
      </c>
    </row>
    <row r="35" spans="1:1">
      <c r="A35" t="s">
        <v>433</v>
      </c>
    </row>
    <row r="37" spans="1:1">
      <c r="A37" s="78" t="s">
        <v>434</v>
      </c>
    </row>
    <row r="38" spans="1:1">
      <c r="A38">
        <v>1</v>
      </c>
    </row>
    <row r="40" spans="1:1">
      <c r="A40" s="78" t="s">
        <v>441</v>
      </c>
    </row>
  </sheetData>
  <sheetProtection sheet="1" objects="1" scenarios="1"/>
  <pageMargins left="0.7" right="0.7" top="0.75" bottom="0.75" header="0.3" footer="0.3"/>
  <pageSetup paperSize="9" orientation="portrait" r:id="rId1"/>
  <headerFooter>
    <oddFooter>&amp;L&amp;1#&amp;"Calibri"&amp;8 Classification: Open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me">
    <tabColor theme="3" tint="-0.249977111117893"/>
    <pageSetUpPr fitToPage="1"/>
  </sheetPr>
  <dimension ref="A1:T39"/>
  <sheetViews>
    <sheetView zoomScaleNormal="100" workbookViewId="0">
      <selection activeCell="E4" sqref="E4"/>
    </sheetView>
  </sheetViews>
  <sheetFormatPr baseColWidth="10" defaultColWidth="8.85546875" defaultRowHeight="15"/>
  <cols>
    <col min="1" max="1" width="1.7109375" style="4" customWidth="1"/>
    <col min="2" max="2" width="8.7109375" style="4" customWidth="1"/>
    <col min="3" max="3" width="7.7109375" style="4" customWidth="1"/>
    <col min="4" max="4" width="7.140625" style="4" customWidth="1"/>
    <col min="5" max="5" width="14" style="4" customWidth="1"/>
    <col min="6" max="14" width="8.85546875" style="4"/>
    <col min="15" max="15" width="9" style="4" customWidth="1"/>
    <col min="16" max="16" width="18.5703125" style="4" customWidth="1"/>
    <col min="17" max="18" width="10.140625" style="4" bestFit="1" customWidth="1"/>
    <col min="19" max="19" width="8.85546875" style="4"/>
    <col min="20" max="20" width="15.7109375" style="4" bestFit="1" customWidth="1"/>
    <col min="21" max="16384" width="8.85546875" style="4"/>
  </cols>
  <sheetData>
    <row r="1" spans="1:20" ht="14.45" customHeight="1">
      <c r="A1" s="820" t="s">
        <v>301</v>
      </c>
      <c r="B1" s="821"/>
      <c r="C1" s="821"/>
      <c r="D1" s="821"/>
      <c r="E1" s="821"/>
      <c r="F1" s="821"/>
      <c r="G1" s="821"/>
      <c r="H1" s="821"/>
      <c r="I1" s="821"/>
      <c r="J1" s="821"/>
      <c r="K1" s="821"/>
      <c r="L1" s="821"/>
      <c r="M1" s="821"/>
      <c r="N1" s="821"/>
      <c r="O1" s="821"/>
      <c r="P1" s="821"/>
      <c r="Q1" s="822"/>
    </row>
    <row r="2" spans="1:20" ht="14.45" customHeight="1">
      <c r="A2" s="823"/>
      <c r="B2" s="824"/>
      <c r="C2" s="824"/>
      <c r="D2" s="824"/>
      <c r="E2" s="824"/>
      <c r="F2" s="824"/>
      <c r="G2" s="824"/>
      <c r="H2" s="824"/>
      <c r="I2" s="824"/>
      <c r="J2" s="824"/>
      <c r="K2" s="824"/>
      <c r="L2" s="824"/>
      <c r="M2" s="824"/>
      <c r="N2" s="824"/>
      <c r="O2" s="824"/>
      <c r="P2" s="824"/>
      <c r="Q2" s="825"/>
    </row>
    <row r="3" spans="1:20" ht="14.45" customHeight="1">
      <c r="A3" s="823"/>
      <c r="B3" s="824"/>
      <c r="C3" s="824"/>
      <c r="D3" s="824"/>
      <c r="E3" s="824"/>
      <c r="F3" s="824"/>
      <c r="G3" s="824"/>
      <c r="H3" s="824"/>
      <c r="I3" s="824"/>
      <c r="J3" s="824"/>
      <c r="K3" s="824"/>
      <c r="L3" s="824"/>
      <c r="M3" s="824"/>
      <c r="N3" s="824"/>
      <c r="O3" s="824"/>
      <c r="P3" s="824"/>
      <c r="Q3" s="825"/>
    </row>
    <row r="4" spans="1:20">
      <c r="A4" s="509"/>
      <c r="B4" s="510"/>
      <c r="C4" s="510"/>
      <c r="D4" s="510"/>
      <c r="E4" s="510"/>
      <c r="F4" s="510"/>
      <c r="G4" s="510"/>
      <c r="H4" s="510"/>
      <c r="I4" s="814" t="str">
        <f>CONCATENATE(sysX!A4,"   avd ",sysX!A2)</f>
        <v>BERJASEN   avd 4301</v>
      </c>
      <c r="J4" s="814"/>
      <c r="K4" s="814"/>
      <c r="L4" s="510"/>
      <c r="M4" s="510"/>
      <c r="N4" s="510"/>
      <c r="O4" s="510"/>
      <c r="P4" s="510"/>
      <c r="Q4" s="511"/>
    </row>
    <row r="5" spans="1:20" ht="15.75" thickBot="1">
      <c r="A5" s="512"/>
      <c r="B5" s="513"/>
      <c r="C5" s="513"/>
      <c r="D5" s="513"/>
      <c r="E5" s="513"/>
      <c r="F5" s="513"/>
      <c r="G5" s="513"/>
      <c r="H5" s="513"/>
      <c r="I5" s="815" t="str">
        <f ca="1">CONCATENATE("Uke: ",wn(NOW()),"  År: ",YEAR(NOW()))</f>
        <v>Uke: 1  År: 2019</v>
      </c>
      <c r="J5" s="815"/>
      <c r="K5" s="815"/>
      <c r="L5" s="513"/>
      <c r="M5" s="513"/>
      <c r="N5" s="513"/>
      <c r="O5" s="513"/>
      <c r="P5" s="513"/>
      <c r="Q5" s="514"/>
    </row>
    <row r="6" spans="1:20">
      <c r="A6" s="491"/>
      <c r="B6" s="492"/>
      <c r="C6" s="492"/>
      <c r="D6" s="492"/>
      <c r="E6" s="492"/>
      <c r="F6" s="493"/>
      <c r="G6" s="493"/>
      <c r="H6" s="493"/>
      <c r="I6" s="493"/>
      <c r="J6" s="493"/>
      <c r="K6" s="493"/>
      <c r="L6" s="493"/>
      <c r="M6" s="493"/>
      <c r="N6" s="493"/>
      <c r="O6" s="493"/>
      <c r="P6" s="493"/>
      <c r="Q6" s="494"/>
    </row>
    <row r="7" spans="1:20">
      <c r="A7" s="491"/>
      <c r="B7" s="487"/>
      <c r="C7" s="817"/>
      <c r="D7" s="817"/>
      <c r="E7" s="817"/>
      <c r="F7" s="493"/>
      <c r="G7" s="493"/>
      <c r="H7" s="493"/>
      <c r="I7" s="493"/>
      <c r="J7" s="493"/>
      <c r="K7" s="493"/>
      <c r="L7" s="493"/>
      <c r="M7" s="493"/>
      <c r="N7" s="493"/>
      <c r="O7" s="493"/>
      <c r="P7" s="493"/>
      <c r="Q7" s="494"/>
      <c r="R7" s="500"/>
      <c r="S7" s="499"/>
    </row>
    <row r="8" spans="1:20">
      <c r="A8" s="491"/>
      <c r="B8" s="488"/>
      <c r="C8" s="818"/>
      <c r="D8" s="818"/>
      <c r="E8" s="818"/>
      <c r="F8" s="493"/>
      <c r="G8" s="493"/>
      <c r="H8" s="493"/>
      <c r="I8" s="493"/>
      <c r="J8" s="493"/>
      <c r="K8" s="493"/>
      <c r="L8" s="493"/>
      <c r="M8" s="493"/>
      <c r="N8" s="493"/>
      <c r="O8" s="493"/>
      <c r="P8" s="493"/>
      <c r="Q8" s="494"/>
    </row>
    <row r="9" spans="1:20">
      <c r="A9" s="491"/>
      <c r="B9" s="490" t="s">
        <v>309</v>
      </c>
      <c r="C9" s="816" t="s">
        <v>311</v>
      </c>
      <c r="D9" s="816"/>
      <c r="E9" s="816"/>
      <c r="F9" s="493"/>
      <c r="G9" s="493"/>
      <c r="H9" s="493"/>
      <c r="I9" s="493"/>
      <c r="J9" s="493"/>
      <c r="K9" s="493"/>
      <c r="L9" s="493"/>
      <c r="M9" s="493"/>
      <c r="N9" s="493"/>
      <c r="O9" s="493"/>
      <c r="P9" s="493"/>
      <c r="Q9" s="494"/>
      <c r="T9" s="515">
        <f ca="1">NOW()</f>
        <v>43471.994756944441</v>
      </c>
    </row>
    <row r="10" spans="1:20">
      <c r="A10" s="491"/>
      <c r="B10" s="489"/>
      <c r="C10" s="813"/>
      <c r="D10" s="813"/>
      <c r="E10" s="813"/>
      <c r="F10" s="493"/>
      <c r="G10" s="493"/>
      <c r="H10" s="493"/>
      <c r="I10" s="493"/>
      <c r="J10" s="493"/>
      <c r="K10" s="493"/>
      <c r="L10" s="493"/>
      <c r="M10" s="493"/>
      <c r="N10" s="493"/>
      <c r="O10" s="493"/>
      <c r="P10" s="493"/>
      <c r="Q10" s="494"/>
    </row>
    <row r="11" spans="1:20">
      <c r="A11" s="491"/>
      <c r="B11" s="489"/>
      <c r="C11" s="813"/>
      <c r="D11" s="813"/>
      <c r="E11" s="813"/>
      <c r="F11" s="493"/>
      <c r="G11" s="493"/>
      <c r="H11" s="493"/>
      <c r="I11" s="493"/>
      <c r="J11" s="493"/>
      <c r="K11" s="493"/>
      <c r="L11" s="493"/>
      <c r="M11" s="493"/>
      <c r="N11" s="493"/>
      <c r="O11" s="493"/>
      <c r="P11" s="493"/>
      <c r="Q11" s="494"/>
    </row>
    <row r="12" spans="1:20">
      <c r="A12" s="491"/>
      <c r="B12" s="489"/>
      <c r="C12" s="813"/>
      <c r="D12" s="813"/>
      <c r="E12" s="813"/>
      <c r="F12" s="493"/>
      <c r="G12" s="493"/>
      <c r="H12" s="493"/>
      <c r="I12" s="493"/>
      <c r="J12" s="493"/>
      <c r="K12" s="493"/>
      <c r="L12" s="493"/>
      <c r="M12" s="493"/>
      <c r="N12" s="493"/>
      <c r="O12" s="493"/>
      <c r="P12" s="493"/>
      <c r="Q12" s="494"/>
    </row>
    <row r="13" spans="1:20">
      <c r="A13" s="491"/>
      <c r="B13" s="489"/>
      <c r="C13" s="813"/>
      <c r="D13" s="813"/>
      <c r="E13" s="813"/>
      <c r="F13" s="493"/>
      <c r="G13" s="493"/>
      <c r="H13" s="493"/>
      <c r="I13" s="493"/>
      <c r="J13" s="493"/>
      <c r="K13" s="493"/>
      <c r="L13" s="493"/>
      <c r="M13" s="493"/>
      <c r="N13" s="493"/>
      <c r="O13" s="493"/>
      <c r="P13" s="493"/>
      <c r="Q13" s="494"/>
      <c r="T13" s="508"/>
    </row>
    <row r="14" spans="1:20">
      <c r="A14" s="491"/>
      <c r="B14" s="489"/>
      <c r="C14" s="813"/>
      <c r="D14" s="813"/>
      <c r="E14" s="813"/>
      <c r="F14" s="493"/>
      <c r="G14" s="493"/>
      <c r="H14" s="493"/>
      <c r="I14" s="493"/>
      <c r="J14" s="493"/>
      <c r="K14" s="493"/>
      <c r="L14" s="493"/>
      <c r="M14" s="493"/>
      <c r="N14" s="493"/>
      <c r="O14" s="493"/>
      <c r="P14" s="493"/>
      <c r="Q14" s="494"/>
    </row>
    <row r="15" spans="1:20">
      <c r="A15" s="491"/>
      <c r="B15" s="489"/>
      <c r="C15" s="813"/>
      <c r="D15" s="813"/>
      <c r="E15" s="813"/>
      <c r="F15" s="493"/>
      <c r="G15" s="493"/>
      <c r="H15" s="493"/>
      <c r="I15" s="493"/>
      <c r="J15" s="493"/>
      <c r="K15" s="493"/>
      <c r="L15" s="493"/>
      <c r="M15" s="493"/>
      <c r="N15" s="493"/>
      <c r="O15" s="493"/>
      <c r="P15" s="493"/>
      <c r="Q15" s="494"/>
    </row>
    <row r="16" spans="1:20">
      <c r="A16" s="491"/>
      <c r="B16" s="489"/>
      <c r="C16" s="813"/>
      <c r="D16" s="813"/>
      <c r="E16" s="813"/>
      <c r="F16" s="493"/>
      <c r="G16" s="493"/>
      <c r="H16" s="493"/>
      <c r="I16" s="493"/>
      <c r="J16" s="493"/>
      <c r="K16" s="493"/>
      <c r="L16" s="493"/>
      <c r="M16" s="493"/>
      <c r="N16" s="493"/>
      <c r="O16" s="493"/>
      <c r="P16" s="493"/>
      <c r="Q16" s="494"/>
    </row>
    <row r="17" spans="1:18">
      <c r="A17" s="491"/>
      <c r="B17" s="489"/>
      <c r="C17" s="813"/>
      <c r="D17" s="813"/>
      <c r="E17" s="813"/>
      <c r="F17" s="493"/>
      <c r="G17" s="493"/>
      <c r="H17" s="493"/>
      <c r="I17" s="493"/>
      <c r="J17" s="493"/>
      <c r="K17" s="493"/>
      <c r="L17" s="493"/>
      <c r="M17" s="493"/>
      <c r="N17" s="493"/>
      <c r="O17" s="493"/>
      <c r="P17" s="493"/>
      <c r="Q17" s="494"/>
    </row>
    <row r="18" spans="1:18">
      <c r="A18" s="491"/>
      <c r="B18" s="489"/>
      <c r="C18" s="813"/>
      <c r="D18" s="813"/>
      <c r="E18" s="813"/>
      <c r="F18" s="493"/>
      <c r="G18" s="493"/>
      <c r="H18" s="493"/>
      <c r="I18" s="493"/>
      <c r="J18" s="493"/>
      <c r="K18" s="493"/>
      <c r="L18" s="493"/>
      <c r="M18" s="493"/>
      <c r="N18" s="493"/>
      <c r="O18" s="493"/>
      <c r="P18" s="493"/>
      <c r="Q18" s="494"/>
    </row>
    <row r="19" spans="1:18">
      <c r="A19" s="491"/>
      <c r="B19" s="489"/>
      <c r="C19" s="813"/>
      <c r="D19" s="813"/>
      <c r="E19" s="813"/>
      <c r="F19" s="493"/>
      <c r="G19" s="493"/>
      <c r="H19" s="493"/>
      <c r="I19" s="493"/>
      <c r="J19" s="493"/>
      <c r="K19" s="493"/>
      <c r="L19" s="493"/>
      <c r="M19" s="493"/>
      <c r="N19" s="493"/>
      <c r="O19" s="493"/>
      <c r="P19" s="493"/>
      <c r="Q19" s="494"/>
    </row>
    <row r="20" spans="1:18">
      <c r="A20" s="491"/>
      <c r="B20" s="489"/>
      <c r="C20" s="813"/>
      <c r="D20" s="813"/>
      <c r="E20" s="813"/>
      <c r="F20" s="493"/>
      <c r="G20" s="493"/>
      <c r="H20" s="493"/>
      <c r="I20" s="493"/>
      <c r="J20" s="493"/>
      <c r="K20" s="493"/>
      <c r="L20" s="493"/>
      <c r="M20" s="493"/>
      <c r="N20" s="493"/>
      <c r="O20" s="493"/>
      <c r="P20" s="493"/>
      <c r="Q20" s="494"/>
    </row>
    <row r="21" spans="1:18">
      <c r="A21" s="491"/>
      <c r="B21" s="489"/>
      <c r="C21" s="813"/>
      <c r="D21" s="813"/>
      <c r="E21" s="813"/>
      <c r="F21" s="493"/>
      <c r="G21" s="493"/>
      <c r="H21" s="493"/>
      <c r="I21" s="493"/>
      <c r="J21" s="493"/>
      <c r="K21" s="493"/>
      <c r="L21" s="493"/>
      <c r="M21" s="493"/>
      <c r="N21" s="493"/>
      <c r="O21" s="493"/>
      <c r="P21" s="493"/>
      <c r="Q21" s="494"/>
      <c r="R21" s="4" t="s">
        <v>313</v>
      </c>
    </row>
    <row r="22" spans="1:18">
      <c r="A22" s="491"/>
      <c r="B22" s="489"/>
      <c r="C22" s="813"/>
      <c r="D22" s="813"/>
      <c r="E22" s="813"/>
      <c r="F22" s="493"/>
      <c r="G22" s="493"/>
      <c r="H22" s="493"/>
      <c r="I22" s="493"/>
      <c r="J22" s="493"/>
      <c r="K22" s="493"/>
      <c r="L22" s="493"/>
      <c r="M22" s="493"/>
      <c r="N22" s="493"/>
      <c r="O22" s="493"/>
      <c r="P22" s="493"/>
      <c r="Q22" s="494"/>
    </row>
    <row r="23" spans="1:18">
      <c r="A23" s="491"/>
      <c r="B23" s="489"/>
      <c r="C23" s="813"/>
      <c r="D23" s="813"/>
      <c r="E23" s="813"/>
      <c r="F23" s="493"/>
      <c r="G23" s="493"/>
      <c r="H23" s="493"/>
      <c r="I23" s="493"/>
      <c r="J23" s="493"/>
      <c r="K23" s="493"/>
      <c r="L23" s="493"/>
      <c r="M23" s="493"/>
      <c r="N23" s="493"/>
      <c r="O23" s="493"/>
      <c r="P23" s="493"/>
      <c r="Q23" s="494"/>
    </row>
    <row r="24" spans="1:18">
      <c r="A24" s="491"/>
      <c r="B24" s="489"/>
      <c r="C24" s="813"/>
      <c r="D24" s="813"/>
      <c r="E24" s="813"/>
      <c r="F24" s="493"/>
      <c r="G24" s="493"/>
      <c r="H24" s="493"/>
      <c r="I24" s="493"/>
      <c r="J24" s="493"/>
      <c r="K24" s="493"/>
      <c r="L24" s="493"/>
      <c r="M24" s="493"/>
      <c r="N24" s="493"/>
      <c r="O24" s="493"/>
      <c r="P24" s="493"/>
      <c r="Q24" s="494"/>
    </row>
    <row r="25" spans="1:18">
      <c r="A25" s="491"/>
      <c r="B25" s="489"/>
      <c r="C25" s="813"/>
      <c r="D25" s="813"/>
      <c r="E25" s="813"/>
      <c r="F25" s="493"/>
      <c r="G25" s="493"/>
      <c r="H25" s="493"/>
      <c r="I25" s="493"/>
      <c r="J25" s="493"/>
      <c r="K25" s="493"/>
      <c r="L25" s="493"/>
      <c r="M25" s="493"/>
      <c r="N25" s="493"/>
      <c r="O25" s="493"/>
      <c r="P25" s="493"/>
      <c r="Q25" s="494"/>
    </row>
    <row r="26" spans="1:18">
      <c r="A26" s="491"/>
      <c r="B26" s="489"/>
      <c r="C26" s="813"/>
      <c r="D26" s="813"/>
      <c r="E26" s="813"/>
      <c r="F26" s="493"/>
      <c r="G26" s="493"/>
      <c r="H26" s="493"/>
      <c r="I26" s="493"/>
      <c r="J26" s="493"/>
      <c r="K26" s="493"/>
      <c r="L26" s="493"/>
      <c r="M26" s="493"/>
      <c r="N26" s="493"/>
      <c r="O26" s="493"/>
      <c r="P26" s="493"/>
      <c r="Q26" s="494"/>
    </row>
    <row r="27" spans="1:18">
      <c r="A27" s="491"/>
      <c r="B27" s="489"/>
      <c r="C27" s="813"/>
      <c r="D27" s="813"/>
      <c r="E27" s="813"/>
      <c r="F27" s="493"/>
      <c r="G27" s="493"/>
      <c r="H27" s="493"/>
      <c r="I27" s="493"/>
      <c r="J27" s="493"/>
      <c r="K27" s="493"/>
      <c r="L27" s="493"/>
      <c r="M27" s="493"/>
      <c r="N27" s="493"/>
      <c r="O27" s="493"/>
      <c r="P27" s="493"/>
      <c r="Q27" s="494"/>
    </row>
    <row r="28" spans="1:18">
      <c r="A28" s="491"/>
      <c r="B28" s="489"/>
      <c r="C28" s="813"/>
      <c r="D28" s="813"/>
      <c r="E28" s="813"/>
      <c r="F28" s="493"/>
      <c r="G28" s="493"/>
      <c r="H28" s="493"/>
      <c r="I28" s="493"/>
      <c r="J28" s="493"/>
      <c r="K28" s="493"/>
      <c r="L28" s="493"/>
      <c r="M28" s="493"/>
      <c r="N28" s="493"/>
      <c r="O28" s="493"/>
      <c r="P28" s="493"/>
      <c r="Q28" s="494"/>
    </row>
    <row r="29" spans="1:18">
      <c r="A29" s="491"/>
      <c r="B29" s="489"/>
      <c r="C29" s="813"/>
      <c r="D29" s="813"/>
      <c r="E29" s="813"/>
      <c r="F29" s="493"/>
      <c r="G29" s="493"/>
      <c r="H29" s="493"/>
      <c r="I29" s="493"/>
      <c r="J29" s="493"/>
      <c r="K29" s="493"/>
      <c r="L29" s="493"/>
      <c r="M29" s="493"/>
      <c r="N29" s="493"/>
      <c r="O29" s="493"/>
      <c r="P29" s="493"/>
      <c r="Q29" s="494"/>
    </row>
    <row r="30" spans="1:18">
      <c r="A30" s="491"/>
      <c r="B30" s="489"/>
      <c r="C30" s="813"/>
      <c r="D30" s="813"/>
      <c r="E30" s="813"/>
      <c r="F30" s="493"/>
      <c r="G30" s="493"/>
      <c r="H30" s="493"/>
      <c r="I30" s="493"/>
      <c r="J30" s="493"/>
      <c r="K30" s="493"/>
      <c r="L30" s="493"/>
      <c r="M30" s="493"/>
      <c r="N30" s="493"/>
      <c r="O30" s="493"/>
      <c r="P30" s="493"/>
      <c r="Q30" s="494"/>
    </row>
    <row r="31" spans="1:18">
      <c r="A31" s="491"/>
      <c r="B31" s="489"/>
      <c r="C31" s="813"/>
      <c r="D31" s="813"/>
      <c r="E31" s="813"/>
      <c r="F31" s="493"/>
      <c r="G31" s="493"/>
      <c r="H31" s="493"/>
      <c r="I31" s="493"/>
      <c r="J31" s="493"/>
      <c r="K31" s="493"/>
      <c r="L31" s="493"/>
      <c r="M31" s="493"/>
      <c r="N31" s="493"/>
      <c r="O31" s="493"/>
      <c r="P31" s="493"/>
      <c r="Q31" s="494"/>
    </row>
    <row r="32" spans="1:18">
      <c r="A32" s="491"/>
      <c r="B32" s="489"/>
      <c r="C32" s="813"/>
      <c r="D32" s="813"/>
      <c r="E32" s="813"/>
      <c r="F32" s="493"/>
      <c r="G32" s="493"/>
      <c r="H32" s="493"/>
      <c r="I32" s="493"/>
      <c r="J32" s="493"/>
      <c r="K32" s="493"/>
      <c r="L32" s="493"/>
      <c r="M32" s="493"/>
      <c r="N32" s="493"/>
      <c r="O32" s="493"/>
      <c r="P32" s="493"/>
      <c r="Q32" s="494"/>
    </row>
    <row r="33" spans="1:17">
      <c r="A33" s="491"/>
      <c r="B33" s="489"/>
      <c r="C33" s="813"/>
      <c r="D33" s="813"/>
      <c r="E33" s="813"/>
      <c r="F33" s="493"/>
      <c r="G33" s="493"/>
      <c r="H33" s="493"/>
      <c r="I33" s="493"/>
      <c r="J33" s="493"/>
      <c r="K33" s="493"/>
      <c r="L33" s="493"/>
      <c r="M33" s="493"/>
      <c r="N33" s="493"/>
      <c r="O33" s="493"/>
      <c r="P33" s="493"/>
      <c r="Q33" s="494"/>
    </row>
    <row r="34" spans="1:17">
      <c r="A34" s="491"/>
      <c r="B34" s="489"/>
      <c r="C34" s="813"/>
      <c r="D34" s="813"/>
      <c r="E34" s="813"/>
      <c r="F34" s="493"/>
      <c r="G34" s="493"/>
      <c r="H34" s="493"/>
      <c r="I34" s="493"/>
      <c r="J34" s="493"/>
      <c r="K34" s="493"/>
      <c r="L34" s="493"/>
      <c r="M34" s="493"/>
      <c r="N34" s="493"/>
      <c r="O34" s="493"/>
      <c r="P34" s="493"/>
      <c r="Q34" s="494"/>
    </row>
    <row r="35" spans="1:17">
      <c r="A35" s="491"/>
      <c r="B35" s="489"/>
      <c r="C35" s="813"/>
      <c r="D35" s="813"/>
      <c r="E35" s="813"/>
      <c r="F35" s="493"/>
      <c r="G35" s="493"/>
      <c r="H35" s="493"/>
      <c r="I35" s="493"/>
      <c r="J35" s="493"/>
      <c r="K35" s="493"/>
      <c r="L35" s="493"/>
      <c r="M35" s="493"/>
      <c r="N35" s="493"/>
      <c r="O35" s="493"/>
      <c r="P35" s="493"/>
      <c r="Q35" s="494"/>
    </row>
    <row r="36" spans="1:17">
      <c r="A36" s="491"/>
      <c r="B36" s="489"/>
      <c r="C36" s="813"/>
      <c r="D36" s="813"/>
      <c r="E36" s="813"/>
      <c r="F36" s="493"/>
      <c r="G36" s="493"/>
      <c r="H36" s="493"/>
      <c r="I36" s="493"/>
      <c r="J36" s="493"/>
      <c r="K36" s="493"/>
      <c r="L36" s="493"/>
      <c r="M36" s="493"/>
      <c r="N36" s="493"/>
      <c r="O36" s="493"/>
      <c r="P36" s="493"/>
      <c r="Q36" s="494"/>
    </row>
    <row r="37" spans="1:17">
      <c r="A37" s="491"/>
      <c r="B37" s="489"/>
      <c r="C37" s="813"/>
      <c r="D37" s="813"/>
      <c r="E37" s="813"/>
      <c r="F37" s="493"/>
      <c r="G37" s="493"/>
      <c r="H37" s="493"/>
      <c r="I37" s="493"/>
      <c r="J37" s="493"/>
      <c r="K37" s="493"/>
      <c r="L37" s="493"/>
      <c r="M37" s="493"/>
      <c r="N37" s="493"/>
      <c r="O37" s="493"/>
      <c r="P37" s="493"/>
      <c r="Q37" s="494"/>
    </row>
    <row r="38" spans="1:17">
      <c r="A38" s="491"/>
      <c r="B38" s="489"/>
      <c r="C38" s="813"/>
      <c r="D38" s="813"/>
      <c r="E38" s="813"/>
      <c r="F38" s="493"/>
      <c r="G38" s="493"/>
      <c r="H38" s="493"/>
      <c r="I38" s="493"/>
      <c r="J38" s="493"/>
      <c r="K38" s="493"/>
      <c r="L38" s="493"/>
      <c r="M38" s="493"/>
      <c r="N38" s="493"/>
      <c r="O38" s="493"/>
      <c r="P38" s="493"/>
      <c r="Q38" s="494"/>
    </row>
    <row r="39" spans="1:17" ht="15.75" thickBot="1">
      <c r="A39" s="495"/>
      <c r="B39" s="496"/>
      <c r="C39" s="819"/>
      <c r="D39" s="819"/>
      <c r="E39" s="819"/>
      <c r="F39" s="497"/>
      <c r="G39" s="497"/>
      <c r="H39" s="497"/>
      <c r="I39" s="497"/>
      <c r="J39" s="497"/>
      <c r="K39" s="497"/>
      <c r="L39" s="497"/>
      <c r="M39" s="497"/>
      <c r="N39" s="497"/>
      <c r="O39" s="497"/>
      <c r="P39" s="497"/>
      <c r="Q39" s="498"/>
    </row>
  </sheetData>
  <sheetProtection sheet="1" objects="1" scenarios="1"/>
  <mergeCells count="36">
    <mergeCell ref="C39:E39"/>
    <mergeCell ref="A1:Q3"/>
    <mergeCell ref="C32:E32"/>
    <mergeCell ref="C33:E33"/>
    <mergeCell ref="C34:E34"/>
    <mergeCell ref="C35:E35"/>
    <mergeCell ref="C36:E36"/>
    <mergeCell ref="C37:E37"/>
    <mergeCell ref="C26:E26"/>
    <mergeCell ref="C27:E27"/>
    <mergeCell ref="C28:E28"/>
    <mergeCell ref="C29:E29"/>
    <mergeCell ref="C30:E30"/>
    <mergeCell ref="C31:E31"/>
    <mergeCell ref="C25:E25"/>
    <mergeCell ref="C15:E15"/>
    <mergeCell ref="C16:E16"/>
    <mergeCell ref="C17:E17"/>
    <mergeCell ref="C18:E18"/>
    <mergeCell ref="C38:E38"/>
    <mergeCell ref="C24:E24"/>
    <mergeCell ref="C19:E19"/>
    <mergeCell ref="C20:E20"/>
    <mergeCell ref="C21:E21"/>
    <mergeCell ref="C22:E22"/>
    <mergeCell ref="C23:E23"/>
    <mergeCell ref="C14:E14"/>
    <mergeCell ref="I4:K4"/>
    <mergeCell ref="I5:K5"/>
    <mergeCell ref="C12:E12"/>
    <mergeCell ref="C13:E13"/>
    <mergeCell ref="C9:E9"/>
    <mergeCell ref="C7:E7"/>
    <mergeCell ref="C8:E8"/>
    <mergeCell ref="C10:E10"/>
    <mergeCell ref="C11:E11"/>
  </mergeCells>
  <printOptions horizontalCentered="1" verticalCentered="1"/>
  <pageMargins left="0.11811023622047245" right="0.11811023622047245" top="0.11811023622047245" bottom="0.11811023622047245" header="0.31496062992125984" footer="0.31496062992125984"/>
  <pageSetup paperSize="9" scale="63" orientation="landscape" r:id="rId1"/>
  <headerFooter>
    <oddFooter>&amp;L&amp;1#&amp;"Calibri"&amp;8 Classification: Open</oddFooter>
  </headerFooter>
  <drawing r:id="rId2"/>
  <legacyDrawing r:id="rId3"/>
  <controls>
    <mc:AlternateContent xmlns:mc="http://schemas.openxmlformats.org/markup-compatibility/2006">
      <mc:Choice Requires="x14">
        <control shapeId="51344" r:id="rId4" name="Label10">
          <controlPr autoLine="0" r:id="rId5">
            <anchor moveWithCells="1">
              <from>
                <xdr:col>15</xdr:col>
                <xdr:colOff>752475</xdr:colOff>
                <xdr:row>36</xdr:row>
                <xdr:rowOff>38100</xdr:rowOff>
              </from>
              <to>
                <xdr:col>15</xdr:col>
                <xdr:colOff>1066800</xdr:colOff>
                <xdr:row>37</xdr:row>
                <xdr:rowOff>9525</xdr:rowOff>
              </to>
            </anchor>
          </controlPr>
        </control>
      </mc:Choice>
      <mc:Fallback>
        <control shapeId="51344" r:id="rId4" name="Label10"/>
      </mc:Fallback>
    </mc:AlternateContent>
    <mc:AlternateContent xmlns:mc="http://schemas.openxmlformats.org/markup-compatibility/2006">
      <mc:Choice Requires="x14">
        <control shapeId="51343" r:id="rId6" name="Label9">
          <controlPr autoLine="0" r:id="rId7">
            <anchor moveWithCells="1">
              <from>
                <xdr:col>15</xdr:col>
                <xdr:colOff>752475</xdr:colOff>
                <xdr:row>27</xdr:row>
                <xdr:rowOff>114300</xdr:rowOff>
              </from>
              <to>
                <xdr:col>15</xdr:col>
                <xdr:colOff>1066800</xdr:colOff>
                <xdr:row>28</xdr:row>
                <xdr:rowOff>85725</xdr:rowOff>
              </to>
            </anchor>
          </controlPr>
        </control>
      </mc:Choice>
      <mc:Fallback>
        <control shapeId="51343" r:id="rId6" name="Label9"/>
      </mc:Fallback>
    </mc:AlternateContent>
    <mc:AlternateContent xmlns:mc="http://schemas.openxmlformats.org/markup-compatibility/2006">
      <mc:Choice Requires="x14">
        <control shapeId="51342" r:id="rId8" name="Label8">
          <controlPr autoLine="0" r:id="rId9">
            <anchor moveWithCells="1">
              <from>
                <xdr:col>14</xdr:col>
                <xdr:colOff>371475</xdr:colOff>
                <xdr:row>27</xdr:row>
                <xdr:rowOff>114300</xdr:rowOff>
              </from>
              <to>
                <xdr:col>15</xdr:col>
                <xdr:colOff>85725</xdr:colOff>
                <xdr:row>28</xdr:row>
                <xdr:rowOff>85725</xdr:rowOff>
              </to>
            </anchor>
          </controlPr>
        </control>
      </mc:Choice>
      <mc:Fallback>
        <control shapeId="51342" r:id="rId8" name="Label8"/>
      </mc:Fallback>
    </mc:AlternateContent>
    <mc:AlternateContent xmlns:mc="http://schemas.openxmlformats.org/markup-compatibility/2006">
      <mc:Choice Requires="x14">
        <control shapeId="51341" r:id="rId10" name="Label7">
          <controlPr autoLine="0" r:id="rId7">
            <anchor moveWithCells="1">
              <from>
                <xdr:col>15</xdr:col>
                <xdr:colOff>752475</xdr:colOff>
                <xdr:row>18</xdr:row>
                <xdr:rowOff>171450</xdr:rowOff>
              </from>
              <to>
                <xdr:col>15</xdr:col>
                <xdr:colOff>1066800</xdr:colOff>
                <xdr:row>19</xdr:row>
                <xdr:rowOff>142875</xdr:rowOff>
              </to>
            </anchor>
          </controlPr>
        </control>
      </mc:Choice>
      <mc:Fallback>
        <control shapeId="51341" r:id="rId10" name="Label7"/>
      </mc:Fallback>
    </mc:AlternateContent>
    <mc:AlternateContent xmlns:mc="http://schemas.openxmlformats.org/markup-compatibility/2006">
      <mc:Choice Requires="x14">
        <control shapeId="51340" r:id="rId11" name="Label6">
          <controlPr autoLine="0" r:id="rId12">
            <anchor moveWithCells="1">
              <from>
                <xdr:col>14</xdr:col>
                <xdr:colOff>371475</xdr:colOff>
                <xdr:row>18</xdr:row>
                <xdr:rowOff>171450</xdr:rowOff>
              </from>
              <to>
                <xdr:col>15</xdr:col>
                <xdr:colOff>85725</xdr:colOff>
                <xdr:row>19</xdr:row>
                <xdr:rowOff>142875</xdr:rowOff>
              </to>
            </anchor>
          </controlPr>
        </control>
      </mc:Choice>
      <mc:Fallback>
        <control shapeId="51340" r:id="rId11" name="Label6"/>
      </mc:Fallback>
    </mc:AlternateContent>
    <mc:AlternateContent xmlns:mc="http://schemas.openxmlformats.org/markup-compatibility/2006">
      <mc:Choice Requires="x14">
        <control shapeId="51339" r:id="rId13" name="Label5">
          <controlPr autoLine="0" r:id="rId14">
            <anchor moveWithCells="1">
              <from>
                <xdr:col>15</xdr:col>
                <xdr:colOff>752475</xdr:colOff>
                <xdr:row>10</xdr:row>
                <xdr:rowOff>19050</xdr:rowOff>
              </from>
              <to>
                <xdr:col>15</xdr:col>
                <xdr:colOff>1066800</xdr:colOff>
                <xdr:row>10</xdr:row>
                <xdr:rowOff>180975</xdr:rowOff>
              </to>
            </anchor>
          </controlPr>
        </control>
      </mc:Choice>
      <mc:Fallback>
        <control shapeId="51339" r:id="rId13" name="Label5"/>
      </mc:Fallback>
    </mc:AlternateContent>
    <mc:AlternateContent xmlns:mc="http://schemas.openxmlformats.org/markup-compatibility/2006">
      <mc:Choice Requires="x14">
        <control shapeId="51264" r:id="rId15" name="Label1">
          <controlPr autoLine="0" r:id="rId16">
            <anchor moveWithCells="1">
              <from>
                <xdr:col>14</xdr:col>
                <xdr:colOff>371475</xdr:colOff>
                <xdr:row>10</xdr:row>
                <xdr:rowOff>19050</xdr:rowOff>
              </from>
              <to>
                <xdr:col>15</xdr:col>
                <xdr:colOff>85725</xdr:colOff>
                <xdr:row>10</xdr:row>
                <xdr:rowOff>180975</xdr:rowOff>
              </to>
            </anchor>
          </controlPr>
        </control>
      </mc:Choice>
      <mc:Fallback>
        <control shapeId="51264" r:id="rId15" name="Label1"/>
      </mc:Fallback>
    </mc:AlternateContent>
    <mc:AlternateContent xmlns:mc="http://schemas.openxmlformats.org/markup-compatibility/2006">
      <mc:Choice Requires="x14">
        <control shapeId="51263" r:id="rId17" name="valSalesDiffLY">
          <controlPr autoLine="0" r:id="rId18">
            <anchor moveWithCells="1">
              <from>
                <xdr:col>15</xdr:col>
                <xdr:colOff>933450</xdr:colOff>
                <xdr:row>11</xdr:row>
                <xdr:rowOff>9525</xdr:rowOff>
              </from>
              <to>
                <xdr:col>16</xdr:col>
                <xdr:colOff>609600</xdr:colOff>
                <xdr:row>11</xdr:row>
                <xdr:rowOff>180975</xdr:rowOff>
              </to>
            </anchor>
          </controlPr>
        </control>
      </mc:Choice>
      <mc:Fallback>
        <control shapeId="51263" r:id="rId17" name="valSalesDiffLY"/>
      </mc:Fallback>
    </mc:AlternateContent>
    <mc:AlternateContent xmlns:mc="http://schemas.openxmlformats.org/markup-compatibility/2006">
      <mc:Choice Requires="x14">
        <control shapeId="51262" r:id="rId19" name="valSalesDiffBud">
          <controlPr autoLine="0" r:id="rId20">
            <anchor moveWithCells="1">
              <from>
                <xdr:col>14</xdr:col>
                <xdr:colOff>533400</xdr:colOff>
                <xdr:row>11</xdr:row>
                <xdr:rowOff>9525</xdr:rowOff>
              </from>
              <to>
                <xdr:col>15</xdr:col>
                <xdr:colOff>847725</xdr:colOff>
                <xdr:row>11</xdr:row>
                <xdr:rowOff>180975</xdr:rowOff>
              </to>
            </anchor>
          </controlPr>
        </control>
      </mc:Choice>
      <mc:Fallback>
        <control shapeId="51262" r:id="rId19" name="valSalesDiffBud"/>
      </mc:Fallback>
    </mc:AlternateContent>
    <mc:AlternateContent xmlns:mc="http://schemas.openxmlformats.org/markup-compatibility/2006">
      <mc:Choice Requires="x14">
        <control shapeId="51261" r:id="rId21" name="valSalesLY">
          <controlPr autoLine="0" r:id="rId22">
            <anchor moveWithCells="1">
              <from>
                <xdr:col>15</xdr:col>
                <xdr:colOff>933450</xdr:colOff>
                <xdr:row>10</xdr:row>
                <xdr:rowOff>9525</xdr:rowOff>
              </from>
              <to>
                <xdr:col>16</xdr:col>
                <xdr:colOff>609600</xdr:colOff>
                <xdr:row>10</xdr:row>
                <xdr:rowOff>180975</xdr:rowOff>
              </to>
            </anchor>
          </controlPr>
        </control>
      </mc:Choice>
      <mc:Fallback>
        <control shapeId="51261" r:id="rId21" name="valSalesLY"/>
      </mc:Fallback>
    </mc:AlternateContent>
    <mc:AlternateContent xmlns:mc="http://schemas.openxmlformats.org/markup-compatibility/2006">
      <mc:Choice Requires="x14">
        <control shapeId="51258" r:id="rId23" name="valSalesBud">
          <controlPr autoLine="0" r:id="rId24">
            <anchor moveWithCells="1">
              <from>
                <xdr:col>14</xdr:col>
                <xdr:colOff>533400</xdr:colOff>
                <xdr:row>10</xdr:row>
                <xdr:rowOff>9525</xdr:rowOff>
              </from>
              <to>
                <xdr:col>15</xdr:col>
                <xdr:colOff>847725</xdr:colOff>
                <xdr:row>10</xdr:row>
                <xdr:rowOff>180975</xdr:rowOff>
              </to>
            </anchor>
          </controlPr>
        </control>
      </mc:Choice>
      <mc:Fallback>
        <control shapeId="51258" r:id="rId23" name="valSalesBud"/>
      </mc:Fallback>
    </mc:AlternateContent>
    <mc:AlternateContent xmlns:mc="http://schemas.openxmlformats.org/markup-compatibility/2006">
      <mc:Choice Requires="x14">
        <control shapeId="51257" r:id="rId25" name="valSales">
          <controlPr autoLine="0" autoPict="0" r:id="rId26">
            <anchor moveWithCells="1">
              <from>
                <xdr:col>13</xdr:col>
                <xdr:colOff>714375</xdr:colOff>
                <xdr:row>6</xdr:row>
                <xdr:rowOff>133350</xdr:rowOff>
              </from>
              <to>
                <xdr:col>16</xdr:col>
                <xdr:colOff>809625</xdr:colOff>
                <xdr:row>8</xdr:row>
                <xdr:rowOff>38100</xdr:rowOff>
              </to>
            </anchor>
          </controlPr>
        </control>
      </mc:Choice>
      <mc:Fallback>
        <control shapeId="51257" r:id="rId25" name="valSales"/>
      </mc:Fallback>
    </mc:AlternateContent>
    <mc:AlternateContent xmlns:mc="http://schemas.openxmlformats.org/markup-compatibility/2006">
      <mc:Choice Requires="x14">
        <control shapeId="51319" r:id="rId27" name="valSvinn">
          <controlPr autoLine="0" autoPict="0" r:id="rId28">
            <anchor moveWithCells="1">
              <from>
                <xdr:col>13</xdr:col>
                <xdr:colOff>714375</xdr:colOff>
                <xdr:row>15</xdr:row>
                <xdr:rowOff>66675</xdr:rowOff>
              </from>
              <to>
                <xdr:col>16</xdr:col>
                <xdr:colOff>838200</xdr:colOff>
                <xdr:row>17</xdr:row>
                <xdr:rowOff>0</xdr:rowOff>
              </to>
            </anchor>
          </controlPr>
        </control>
      </mc:Choice>
      <mc:Fallback>
        <control shapeId="51319" r:id="rId27" name="valSvinn"/>
      </mc:Fallback>
    </mc:AlternateContent>
    <mc:AlternateContent xmlns:mc="http://schemas.openxmlformats.org/markup-compatibility/2006">
      <mc:Choice Requires="x14">
        <control shapeId="51320" r:id="rId29" name="valSvinnBud">
          <controlPr autoLine="0" r:id="rId30">
            <anchor moveWithCells="1">
              <from>
                <xdr:col>14</xdr:col>
                <xdr:colOff>466725</xdr:colOff>
                <xdr:row>18</xdr:row>
                <xdr:rowOff>171450</xdr:rowOff>
              </from>
              <to>
                <xdr:col>15</xdr:col>
                <xdr:colOff>781050</xdr:colOff>
                <xdr:row>19</xdr:row>
                <xdr:rowOff>152400</xdr:rowOff>
              </to>
            </anchor>
          </controlPr>
        </control>
      </mc:Choice>
      <mc:Fallback>
        <control shapeId="51320" r:id="rId29" name="valSvinnBud"/>
      </mc:Fallback>
    </mc:AlternateContent>
    <mc:AlternateContent xmlns:mc="http://schemas.openxmlformats.org/markup-compatibility/2006">
      <mc:Choice Requires="x14">
        <control shapeId="51321" r:id="rId31" name="valSvinnLY">
          <controlPr autoLine="0" r:id="rId32">
            <anchor moveWithCells="1">
              <from>
                <xdr:col>15</xdr:col>
                <xdr:colOff>933450</xdr:colOff>
                <xdr:row>18</xdr:row>
                <xdr:rowOff>171450</xdr:rowOff>
              </from>
              <to>
                <xdr:col>16</xdr:col>
                <xdr:colOff>609600</xdr:colOff>
                <xdr:row>19</xdr:row>
                <xdr:rowOff>152400</xdr:rowOff>
              </to>
            </anchor>
          </controlPr>
        </control>
      </mc:Choice>
      <mc:Fallback>
        <control shapeId="51321" r:id="rId31" name="valSvinnLY"/>
      </mc:Fallback>
    </mc:AlternateContent>
    <mc:AlternateContent xmlns:mc="http://schemas.openxmlformats.org/markup-compatibility/2006">
      <mc:Choice Requires="x14">
        <control shapeId="51322" r:id="rId33" name="valSvinnDiffBud">
          <controlPr autoLine="0" r:id="rId34">
            <anchor moveWithCells="1">
              <from>
                <xdr:col>14</xdr:col>
                <xdr:colOff>466725</xdr:colOff>
                <xdr:row>19</xdr:row>
                <xdr:rowOff>171450</xdr:rowOff>
              </from>
              <to>
                <xdr:col>15</xdr:col>
                <xdr:colOff>781050</xdr:colOff>
                <xdr:row>20</xdr:row>
                <xdr:rowOff>152400</xdr:rowOff>
              </to>
            </anchor>
          </controlPr>
        </control>
      </mc:Choice>
      <mc:Fallback>
        <control shapeId="51322" r:id="rId33" name="valSvinnDiffBud"/>
      </mc:Fallback>
    </mc:AlternateContent>
    <mc:AlternateContent xmlns:mc="http://schemas.openxmlformats.org/markup-compatibility/2006">
      <mc:Choice Requires="x14">
        <control shapeId="51323" r:id="rId35" name="valSvinnDiffLY">
          <controlPr autoLine="0" r:id="rId36">
            <anchor moveWithCells="1">
              <from>
                <xdr:col>15</xdr:col>
                <xdr:colOff>933450</xdr:colOff>
                <xdr:row>19</xdr:row>
                <xdr:rowOff>171450</xdr:rowOff>
              </from>
              <to>
                <xdr:col>16</xdr:col>
                <xdr:colOff>609600</xdr:colOff>
                <xdr:row>20</xdr:row>
                <xdr:rowOff>152400</xdr:rowOff>
              </to>
            </anchor>
          </controlPr>
        </control>
      </mc:Choice>
      <mc:Fallback>
        <control shapeId="51323" r:id="rId35" name="valSvinnDiffLY"/>
      </mc:Fallback>
    </mc:AlternateContent>
    <mc:AlternateContent xmlns:mc="http://schemas.openxmlformats.org/markup-compatibility/2006">
      <mc:Choice Requires="x14">
        <control shapeId="51325" r:id="rId37" name="valLønn">
          <controlPr autoLine="0" autoPict="0" r:id="rId38">
            <anchor moveWithCells="1">
              <from>
                <xdr:col>13</xdr:col>
                <xdr:colOff>742950</xdr:colOff>
                <xdr:row>23</xdr:row>
                <xdr:rowOff>200025</xdr:rowOff>
              </from>
              <to>
                <xdr:col>16</xdr:col>
                <xdr:colOff>847725</xdr:colOff>
                <xdr:row>25</xdr:row>
                <xdr:rowOff>114300</xdr:rowOff>
              </to>
            </anchor>
          </controlPr>
        </control>
      </mc:Choice>
      <mc:Fallback>
        <control shapeId="51325" r:id="rId37" name="valLønn"/>
      </mc:Fallback>
    </mc:AlternateContent>
    <mc:AlternateContent xmlns:mc="http://schemas.openxmlformats.org/markup-compatibility/2006">
      <mc:Choice Requires="x14">
        <control shapeId="51326" r:id="rId39" name="valLønnBud">
          <controlPr autoLine="0" r:id="rId40">
            <anchor moveWithCells="1">
              <from>
                <xdr:col>14</xdr:col>
                <xdr:colOff>495300</xdr:colOff>
                <xdr:row>27</xdr:row>
                <xdr:rowOff>114300</xdr:rowOff>
              </from>
              <to>
                <xdr:col>15</xdr:col>
                <xdr:colOff>809625</xdr:colOff>
                <xdr:row>28</xdr:row>
                <xdr:rowOff>95250</xdr:rowOff>
              </to>
            </anchor>
          </controlPr>
        </control>
      </mc:Choice>
      <mc:Fallback>
        <control shapeId="51326" r:id="rId39" name="valLønnBud"/>
      </mc:Fallback>
    </mc:AlternateContent>
    <mc:AlternateContent xmlns:mc="http://schemas.openxmlformats.org/markup-compatibility/2006">
      <mc:Choice Requires="x14">
        <control shapeId="51327" r:id="rId41" name="valLønnLY">
          <controlPr autoLine="0" r:id="rId42">
            <anchor moveWithCells="1">
              <from>
                <xdr:col>15</xdr:col>
                <xdr:colOff>933450</xdr:colOff>
                <xdr:row>27</xdr:row>
                <xdr:rowOff>114300</xdr:rowOff>
              </from>
              <to>
                <xdr:col>16</xdr:col>
                <xdr:colOff>609600</xdr:colOff>
                <xdr:row>28</xdr:row>
                <xdr:rowOff>95250</xdr:rowOff>
              </to>
            </anchor>
          </controlPr>
        </control>
      </mc:Choice>
      <mc:Fallback>
        <control shapeId="51327" r:id="rId41" name="valLønnLY"/>
      </mc:Fallback>
    </mc:AlternateContent>
    <mc:AlternateContent xmlns:mc="http://schemas.openxmlformats.org/markup-compatibility/2006">
      <mc:Choice Requires="x14">
        <control shapeId="51328" r:id="rId43" name="valLønnDiffBud">
          <controlPr autoLine="0" r:id="rId44">
            <anchor moveWithCells="1">
              <from>
                <xdr:col>14</xdr:col>
                <xdr:colOff>495300</xdr:colOff>
                <xdr:row>28</xdr:row>
                <xdr:rowOff>104775</xdr:rowOff>
              </from>
              <to>
                <xdr:col>15</xdr:col>
                <xdr:colOff>809625</xdr:colOff>
                <xdr:row>29</xdr:row>
                <xdr:rowOff>85725</xdr:rowOff>
              </to>
            </anchor>
          </controlPr>
        </control>
      </mc:Choice>
      <mc:Fallback>
        <control shapeId="51328" r:id="rId43" name="valLønnDiffBud"/>
      </mc:Fallback>
    </mc:AlternateContent>
    <mc:AlternateContent xmlns:mc="http://schemas.openxmlformats.org/markup-compatibility/2006">
      <mc:Choice Requires="x14">
        <control shapeId="51329" r:id="rId45" name="valLønnDiffLY">
          <controlPr autoLine="0" r:id="rId46">
            <anchor moveWithCells="1">
              <from>
                <xdr:col>15</xdr:col>
                <xdr:colOff>933450</xdr:colOff>
                <xdr:row>28</xdr:row>
                <xdr:rowOff>104775</xdr:rowOff>
              </from>
              <to>
                <xdr:col>16</xdr:col>
                <xdr:colOff>609600</xdr:colOff>
                <xdr:row>29</xdr:row>
                <xdr:rowOff>85725</xdr:rowOff>
              </to>
            </anchor>
          </controlPr>
        </control>
      </mc:Choice>
      <mc:Fallback>
        <control shapeId="51329" r:id="rId45" name="valLønnDiffLY"/>
      </mc:Fallback>
    </mc:AlternateContent>
    <mc:AlternateContent xmlns:mc="http://schemas.openxmlformats.org/markup-compatibility/2006">
      <mc:Choice Requires="x14">
        <control shapeId="51331" r:id="rId47" name="valBto">
          <controlPr autoLine="0" autoPict="0" r:id="rId48">
            <anchor moveWithCells="1">
              <from>
                <xdr:col>14</xdr:col>
                <xdr:colOff>76200</xdr:colOff>
                <xdr:row>32</xdr:row>
                <xdr:rowOff>85725</xdr:rowOff>
              </from>
              <to>
                <xdr:col>16</xdr:col>
                <xdr:colOff>819150</xdr:colOff>
                <xdr:row>34</xdr:row>
                <xdr:rowOff>0</xdr:rowOff>
              </to>
            </anchor>
          </controlPr>
        </control>
      </mc:Choice>
      <mc:Fallback>
        <control shapeId="51331" r:id="rId47" name="valBto"/>
      </mc:Fallback>
    </mc:AlternateContent>
    <mc:AlternateContent xmlns:mc="http://schemas.openxmlformats.org/markup-compatibility/2006">
      <mc:Choice Requires="x14">
        <control shapeId="51333" r:id="rId49" name="valBtoLY">
          <controlPr autoLine="0" r:id="rId50">
            <anchor moveWithCells="1">
              <from>
                <xdr:col>15</xdr:col>
                <xdr:colOff>933450</xdr:colOff>
                <xdr:row>36</xdr:row>
                <xdr:rowOff>9525</xdr:rowOff>
              </from>
              <to>
                <xdr:col>16</xdr:col>
                <xdr:colOff>609600</xdr:colOff>
                <xdr:row>36</xdr:row>
                <xdr:rowOff>180975</xdr:rowOff>
              </to>
            </anchor>
          </controlPr>
        </control>
      </mc:Choice>
      <mc:Fallback>
        <control shapeId="51333" r:id="rId49" name="valBtoLY"/>
      </mc:Fallback>
    </mc:AlternateContent>
    <mc:AlternateContent xmlns:mc="http://schemas.openxmlformats.org/markup-compatibility/2006">
      <mc:Choice Requires="x14">
        <control shapeId="51335" r:id="rId51" name="valBtoDiffLY">
          <controlPr autoLine="0" r:id="rId52">
            <anchor moveWithCells="1">
              <from>
                <xdr:col>15</xdr:col>
                <xdr:colOff>933450</xdr:colOff>
                <xdr:row>37</xdr:row>
                <xdr:rowOff>9525</xdr:rowOff>
              </from>
              <to>
                <xdr:col>16</xdr:col>
                <xdr:colOff>609600</xdr:colOff>
                <xdr:row>37</xdr:row>
                <xdr:rowOff>180975</xdr:rowOff>
              </to>
            </anchor>
          </controlPr>
        </control>
      </mc:Choice>
      <mc:Fallback>
        <control shapeId="51335" r:id="rId51" name="valBtoDiffLY"/>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ionLog" filterMode="1">
    <tabColor rgb="FFC80000"/>
  </sheetPr>
  <dimension ref="A1:P57"/>
  <sheetViews>
    <sheetView workbookViewId="0">
      <selection activeCell="B6" sqref="B6"/>
    </sheetView>
  </sheetViews>
  <sheetFormatPr baseColWidth="10" defaultColWidth="8.85546875" defaultRowHeight="12"/>
  <cols>
    <col min="1" max="1" width="5.140625" style="179" customWidth="1"/>
    <col min="2" max="2" width="10.140625" style="483" bestFit="1" customWidth="1"/>
    <col min="3" max="3" width="8.85546875" style="179"/>
    <col min="4" max="4" width="9.7109375" style="179" bestFit="1" customWidth="1"/>
    <col min="5" max="5" width="30.7109375" style="179" customWidth="1"/>
    <col min="6" max="6" width="18.85546875" style="179" customWidth="1"/>
    <col min="7" max="7" width="20.7109375" style="179" customWidth="1"/>
    <col min="8" max="8" width="10.140625" style="483" bestFit="1" customWidth="1"/>
    <col min="9" max="9" width="11.85546875" style="179" bestFit="1" customWidth="1"/>
    <col min="10" max="11" width="8.85546875" style="179"/>
    <col min="12" max="12" width="13.140625" style="179" bestFit="1" customWidth="1"/>
    <col min="13" max="16384" width="8.85546875" style="179"/>
  </cols>
  <sheetData>
    <row r="1" spans="1:16" customFormat="1" ht="14.45" customHeight="1">
      <c r="A1" s="826" t="s">
        <v>302</v>
      </c>
      <c r="B1" s="827"/>
      <c r="C1" s="826"/>
      <c r="D1" s="826"/>
      <c r="E1" s="826"/>
      <c r="F1" s="826"/>
      <c r="G1" s="826"/>
      <c r="H1" s="827"/>
      <c r="I1" s="826"/>
      <c r="J1" s="826"/>
      <c r="K1" s="826"/>
      <c r="L1" s="826"/>
      <c r="M1" s="826"/>
      <c r="N1" s="826"/>
      <c r="O1" s="826"/>
      <c r="P1" s="826"/>
    </row>
    <row r="2" spans="1:16" customFormat="1" ht="14.45" customHeight="1">
      <c r="A2" s="826"/>
      <c r="B2" s="827"/>
      <c r="C2" s="826"/>
      <c r="D2" s="826"/>
      <c r="E2" s="826"/>
      <c r="F2" s="826"/>
      <c r="G2" s="826"/>
      <c r="H2" s="827"/>
      <c r="I2" s="826"/>
      <c r="J2" s="826"/>
      <c r="K2" s="826"/>
      <c r="L2" s="826"/>
      <c r="M2" s="826"/>
      <c r="N2" s="826"/>
      <c r="O2" s="826"/>
      <c r="P2" s="826"/>
    </row>
    <row r="3" spans="1:16" customFormat="1" ht="15">
      <c r="A3" s="828"/>
      <c r="B3" s="829"/>
      <c r="C3" s="828"/>
      <c r="D3" s="828"/>
      <c r="E3" s="828"/>
      <c r="F3" s="828"/>
      <c r="G3" s="828"/>
      <c r="H3" s="829"/>
      <c r="I3" s="828"/>
      <c r="J3" s="828"/>
      <c r="K3" s="828"/>
      <c r="L3" s="828"/>
      <c r="M3" s="828"/>
      <c r="N3" s="828"/>
      <c r="O3" s="828"/>
      <c r="P3" s="828"/>
    </row>
    <row r="4" spans="1:16" customFormat="1" ht="15">
      <c r="A4" s="828"/>
      <c r="B4" s="829"/>
      <c r="C4" s="828"/>
      <c r="D4" s="828"/>
      <c r="E4" s="828"/>
      <c r="F4" s="828"/>
      <c r="G4" s="828"/>
      <c r="H4" s="829"/>
      <c r="I4" s="828"/>
      <c r="J4" s="828"/>
      <c r="K4" s="828"/>
      <c r="L4" s="828"/>
      <c r="M4" s="828"/>
      <c r="N4" s="828"/>
      <c r="O4" s="828"/>
      <c r="P4" s="828"/>
    </row>
    <row r="5" spans="1:16">
      <c r="A5" s="480" t="s">
        <v>303</v>
      </c>
      <c r="B5" s="481" t="s">
        <v>304</v>
      </c>
      <c r="C5" s="480" t="s">
        <v>305</v>
      </c>
      <c r="D5" s="480" t="s">
        <v>306</v>
      </c>
      <c r="E5" s="480" t="s">
        <v>307</v>
      </c>
      <c r="F5" s="480"/>
      <c r="G5" s="480" t="s">
        <v>308</v>
      </c>
      <c r="H5" s="481" t="s">
        <v>309</v>
      </c>
      <c r="I5" s="480" t="s">
        <v>310</v>
      </c>
      <c r="J5" s="480"/>
      <c r="K5" s="480"/>
      <c r="L5" s="480"/>
      <c r="M5" s="480"/>
      <c r="N5" s="480"/>
      <c r="O5" s="480"/>
      <c r="P5" s="480"/>
    </row>
    <row r="6" spans="1:16">
      <c r="A6" s="482">
        <v>194</v>
      </c>
      <c r="B6" s="483">
        <v>41640</v>
      </c>
      <c r="C6" s="179" t="s">
        <v>322</v>
      </c>
      <c r="D6" s="179" t="s">
        <v>5</v>
      </c>
      <c r="E6" s="179" t="s">
        <v>321</v>
      </c>
      <c r="F6" s="484" t="s">
        <v>324</v>
      </c>
      <c r="G6" s="179" t="s">
        <v>322</v>
      </c>
      <c r="H6" s="483">
        <v>41980</v>
      </c>
      <c r="I6" s="179" t="s">
        <v>323</v>
      </c>
    </row>
    <row r="7" spans="1:16" hidden="1">
      <c r="A7" s="482">
        <v>199</v>
      </c>
      <c r="B7" s="483">
        <v>41323</v>
      </c>
      <c r="C7" s="179" t="s">
        <v>322</v>
      </c>
      <c r="D7" s="179" t="s">
        <v>6</v>
      </c>
      <c r="E7" s="179" t="s">
        <v>318</v>
      </c>
      <c r="F7" s="484" t="s">
        <v>327</v>
      </c>
      <c r="G7" s="179" t="s">
        <v>328</v>
      </c>
      <c r="H7" s="483">
        <v>41330</v>
      </c>
      <c r="I7" s="179" t="s">
        <v>329</v>
      </c>
    </row>
    <row r="8" spans="1:16" hidden="1">
      <c r="A8" s="482">
        <v>201</v>
      </c>
      <c r="B8" s="483">
        <v>41323</v>
      </c>
      <c r="C8" s="179" t="s">
        <v>322</v>
      </c>
      <c r="D8" s="179" t="s">
        <v>330</v>
      </c>
      <c r="E8" s="179" t="s">
        <v>320</v>
      </c>
      <c r="F8" s="484" t="s">
        <v>331</v>
      </c>
      <c r="G8" s="179" t="s">
        <v>322</v>
      </c>
      <c r="H8" s="483">
        <v>41358</v>
      </c>
      <c r="I8" s="179" t="s">
        <v>329</v>
      </c>
    </row>
    <row r="9" spans="1:16" hidden="1">
      <c r="A9" s="482">
        <v>204</v>
      </c>
      <c r="B9" s="483">
        <v>41483</v>
      </c>
      <c r="C9" s="179" t="s">
        <v>366</v>
      </c>
      <c r="D9" s="179" t="s">
        <v>330</v>
      </c>
      <c r="E9" s="179" t="s">
        <v>371</v>
      </c>
      <c r="F9" s="484" t="s">
        <v>372</v>
      </c>
      <c r="G9" s="179" t="s">
        <v>366</v>
      </c>
      <c r="H9" s="483">
        <v>41490</v>
      </c>
      <c r="I9" s="179" t="s">
        <v>329</v>
      </c>
    </row>
    <row r="10" spans="1:16" hidden="1">
      <c r="A10" s="482">
        <v>197</v>
      </c>
      <c r="B10" s="483">
        <v>41323</v>
      </c>
      <c r="C10" s="179" t="s">
        <v>322</v>
      </c>
      <c r="D10" s="179" t="s">
        <v>29</v>
      </c>
      <c r="E10" s="179" t="s">
        <v>319</v>
      </c>
      <c r="F10" s="484" t="s">
        <v>325</v>
      </c>
      <c r="G10" s="179" t="s">
        <v>326</v>
      </c>
      <c r="H10" s="483">
        <v>41517</v>
      </c>
      <c r="I10" s="179" t="s">
        <v>329</v>
      </c>
    </row>
    <row r="11" spans="1:16" hidden="1">
      <c r="A11" s="482">
        <v>202</v>
      </c>
      <c r="B11" s="483">
        <v>41483</v>
      </c>
      <c r="C11" s="179" t="s">
        <v>366</v>
      </c>
      <c r="D11" s="179" t="s">
        <v>5</v>
      </c>
      <c r="E11" s="179" t="s">
        <v>368</v>
      </c>
      <c r="F11" s="484" t="s">
        <v>367</v>
      </c>
      <c r="G11" s="179" t="s">
        <v>366</v>
      </c>
      <c r="H11" s="483">
        <v>41517</v>
      </c>
      <c r="I11" s="179" t="s">
        <v>329</v>
      </c>
    </row>
    <row r="12" spans="1:16" hidden="1">
      <c r="A12" s="482">
        <v>205</v>
      </c>
      <c r="B12" s="483">
        <v>41483</v>
      </c>
      <c r="C12" s="179" t="s">
        <v>366</v>
      </c>
      <c r="D12" s="179" t="s">
        <v>330</v>
      </c>
      <c r="E12" s="179" t="s">
        <v>373</v>
      </c>
      <c r="F12" s="484" t="s">
        <v>374</v>
      </c>
      <c r="G12" s="179" t="s">
        <v>366</v>
      </c>
      <c r="H12" s="483">
        <v>41548</v>
      </c>
      <c r="I12" s="179" t="s">
        <v>329</v>
      </c>
    </row>
    <row r="13" spans="1:16">
      <c r="A13" s="482">
        <v>203</v>
      </c>
      <c r="B13" s="483">
        <v>41483</v>
      </c>
      <c r="C13" s="179" t="s">
        <v>366</v>
      </c>
      <c r="D13" s="179" t="s">
        <v>6</v>
      </c>
      <c r="E13" s="179" t="s">
        <v>369</v>
      </c>
      <c r="F13" s="484" t="s">
        <v>370</v>
      </c>
      <c r="G13" s="179" t="s">
        <v>366</v>
      </c>
      <c r="H13" s="483">
        <v>41699</v>
      </c>
      <c r="I13" s="179" t="s">
        <v>323</v>
      </c>
    </row>
    <row r="14" spans="1:16">
      <c r="A14" s="482"/>
      <c r="F14" s="484"/>
    </row>
    <row r="15" spans="1:16">
      <c r="A15" s="482"/>
      <c r="F15" s="484"/>
    </row>
    <row r="16" spans="1:16">
      <c r="A16" s="482"/>
      <c r="F16" s="484"/>
    </row>
    <row r="17" spans="1:6">
      <c r="A17" s="482"/>
      <c r="F17" s="484"/>
    </row>
    <row r="18" spans="1:6">
      <c r="A18" s="482"/>
      <c r="F18" s="484"/>
    </row>
    <row r="19" spans="1:6">
      <c r="A19" s="482"/>
      <c r="F19" s="484"/>
    </row>
    <row r="20" spans="1:6">
      <c r="A20" s="482"/>
      <c r="F20" s="484"/>
    </row>
    <row r="21" spans="1:6">
      <c r="A21" s="482"/>
      <c r="F21" s="484"/>
    </row>
    <row r="22" spans="1:6">
      <c r="A22" s="482"/>
      <c r="F22" s="484"/>
    </row>
    <row r="23" spans="1:6">
      <c r="A23" s="482"/>
      <c r="F23" s="484"/>
    </row>
    <row r="24" spans="1:6">
      <c r="A24" s="482"/>
      <c r="F24" s="484"/>
    </row>
    <row r="25" spans="1:6">
      <c r="A25" s="482"/>
      <c r="F25" s="484"/>
    </row>
    <row r="26" spans="1:6">
      <c r="A26" s="482"/>
      <c r="F26" s="484"/>
    </row>
    <row r="27" spans="1:6">
      <c r="A27" s="482"/>
      <c r="F27" s="484"/>
    </row>
    <row r="28" spans="1:6">
      <c r="A28" s="482"/>
      <c r="F28" s="484"/>
    </row>
    <row r="29" spans="1:6">
      <c r="A29" s="482"/>
      <c r="F29" s="484"/>
    </row>
    <row r="30" spans="1:6">
      <c r="A30" s="482"/>
      <c r="F30" s="484"/>
    </row>
    <row r="31" spans="1:6">
      <c r="A31" s="482"/>
      <c r="F31" s="484"/>
    </row>
    <row r="32" spans="1:6">
      <c r="A32" s="482"/>
      <c r="F32" s="484"/>
    </row>
    <row r="33" spans="1:13">
      <c r="A33" s="482"/>
      <c r="F33" s="484"/>
    </row>
    <row r="34" spans="1:13">
      <c r="A34" s="482"/>
      <c r="F34" s="484"/>
    </row>
    <row r="35" spans="1:13">
      <c r="A35" s="482"/>
      <c r="F35" s="484"/>
    </row>
    <row r="36" spans="1:13">
      <c r="A36" s="482"/>
      <c r="F36" s="484"/>
    </row>
    <row r="37" spans="1:13">
      <c r="A37" s="482"/>
      <c r="F37" s="484"/>
    </row>
    <row r="38" spans="1:13">
      <c r="A38" s="482"/>
      <c r="F38" s="484"/>
    </row>
    <row r="39" spans="1:13">
      <c r="A39" s="482"/>
      <c r="F39" s="484"/>
    </row>
    <row r="40" spans="1:13">
      <c r="A40" s="482"/>
      <c r="F40" s="484"/>
    </row>
    <row r="41" spans="1:13">
      <c r="A41" s="482"/>
      <c r="F41" s="484"/>
    </row>
    <row r="42" spans="1:13">
      <c r="A42" s="482"/>
      <c r="F42" s="484"/>
    </row>
    <row r="43" spans="1:13">
      <c r="A43" s="482"/>
      <c r="F43" s="484"/>
    </row>
    <row r="44" spans="1:13">
      <c r="A44" s="482"/>
      <c r="F44" s="484"/>
    </row>
    <row r="45" spans="1:13">
      <c r="A45" s="482"/>
      <c r="F45" s="484"/>
    </row>
    <row r="46" spans="1:13">
      <c r="A46" s="482"/>
      <c r="F46" s="484"/>
      <c r="L46" s="485"/>
      <c r="M46" s="486"/>
    </row>
    <row r="47" spans="1:13">
      <c r="A47" s="482"/>
      <c r="F47" s="484"/>
    </row>
    <row r="48" spans="1:13">
      <c r="A48" s="482"/>
      <c r="F48" s="484"/>
    </row>
    <row r="49" spans="1:6">
      <c r="A49" s="482"/>
      <c r="F49" s="484"/>
    </row>
    <row r="50" spans="1:6">
      <c r="A50" s="482"/>
      <c r="F50" s="484"/>
    </row>
    <row r="51" spans="1:6">
      <c r="A51" s="482"/>
      <c r="F51" s="484"/>
    </row>
    <row r="52" spans="1:6">
      <c r="A52" s="482"/>
      <c r="F52" s="484"/>
    </row>
    <row r="53" spans="1:6">
      <c r="A53" s="482"/>
      <c r="F53" s="484"/>
    </row>
    <row r="54" spans="1:6">
      <c r="A54" s="482"/>
      <c r="F54" s="484"/>
    </row>
    <row r="55" spans="1:6">
      <c r="A55" s="482"/>
      <c r="F55" s="484"/>
    </row>
    <row r="56" spans="1:6">
      <c r="A56" s="482"/>
      <c r="F56" s="484"/>
    </row>
    <row r="57" spans="1:6">
      <c r="A57" s="482"/>
      <c r="F57" s="484"/>
    </row>
  </sheetData>
  <sheetProtection sheet="1" objects="1" scenarios="1"/>
  <protectedRanges>
    <protectedRange sqref="A5:P9999" name="DataRange"/>
  </protectedRanges>
  <autoFilter ref="A5:P57">
    <filterColumn colId="8">
      <customFilters>
        <customFilter operator="notEqual" val="Ferdig"/>
        <customFilter val=""/>
      </customFilters>
    </filterColumn>
  </autoFilter>
  <sortState ref="A7:I57">
    <sortCondition ref="H6:H9999"/>
    <sortCondition ref="A6:A9999"/>
  </sortState>
  <mergeCells count="2">
    <mergeCell ref="A1:P2"/>
    <mergeCell ref="A3:P4"/>
  </mergeCells>
  <conditionalFormatting sqref="H6:H1048576">
    <cfRule type="expression" dxfId="99" priority="3">
      <formula>AND(H6&lt;NOW(),I6&lt;&gt;"Ferdig")</formula>
    </cfRule>
    <cfRule type="expression" dxfId="98" priority="4">
      <formula>AND(H6&lt;NOW(),I6="Ferdig")</formula>
    </cfRule>
  </conditionalFormatting>
  <conditionalFormatting sqref="E6:E1048576">
    <cfRule type="expression" dxfId="97" priority="2">
      <formula>AND(H6&lt;NOW(),I6&lt;&gt;"Ferdig")</formula>
    </cfRule>
  </conditionalFormatting>
  <conditionalFormatting sqref="I6:I1048576">
    <cfRule type="cellIs" dxfId="96" priority="1" operator="equal">
      <formula>"Ferdig"</formula>
    </cfRule>
  </conditionalFormatting>
  <pageMargins left="0.7" right="0.7" top="0.75" bottom="0.75" header="0.3" footer="0.3"/>
  <pageSetup paperSize="9" orientation="portrait" r:id="rId1"/>
  <headerFooter>
    <oddFooter>&amp;L&amp;1#&amp;"Calibri"&amp;8 Classification: Open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4"/>
    <pageSetUpPr fitToPage="1"/>
  </sheetPr>
  <dimension ref="A1:AH101"/>
  <sheetViews>
    <sheetView zoomScaleNormal="100" workbookViewId="0">
      <pane ySplit="7" topLeftCell="A8" activePane="bottomLeft" state="frozenSplit"/>
      <selection activeCell="X29" sqref="X29"/>
      <selection pane="bottomLeft" activeCell="G12" sqref="G12"/>
    </sheetView>
  </sheetViews>
  <sheetFormatPr baseColWidth="10" defaultColWidth="9" defaultRowHeight="10.5" customHeight="1"/>
  <cols>
    <col min="1" max="1" width="2.7109375" customWidth="1"/>
    <col min="2" max="2" width="1.85546875" hidden="1" customWidth="1"/>
    <col min="3" max="3" width="6.85546875" customWidth="1"/>
    <col min="4" max="4" width="10.140625" style="45" customWidth="1"/>
    <col min="5" max="5" width="11.85546875" style="45" bestFit="1" customWidth="1"/>
    <col min="6" max="6" width="6.7109375" style="45" bestFit="1" customWidth="1"/>
    <col min="7" max="7" width="8.42578125" bestFit="1" customWidth="1"/>
    <col min="8" max="8" width="7.140625" style="45" bestFit="1" customWidth="1"/>
    <col min="9" max="9" width="9.7109375" style="45" bestFit="1" customWidth="1"/>
    <col min="10" max="10" width="9.7109375" bestFit="1" customWidth="1"/>
    <col min="11" max="11" width="9.7109375" style="45" bestFit="1" customWidth="1"/>
    <col min="12" max="12" width="6.7109375" bestFit="1" customWidth="1"/>
    <col min="13" max="14" width="1" hidden="1" customWidth="1"/>
    <col min="15" max="15" width="7.5703125" bestFit="1" customWidth="1"/>
    <col min="16" max="16" width="5.42578125" hidden="1" customWidth="1"/>
    <col min="17" max="17" width="6.7109375" bestFit="1" customWidth="1"/>
    <col min="18" max="18" width="7.140625" bestFit="1" customWidth="1"/>
    <col min="19" max="19" width="6" customWidth="1"/>
    <col min="20" max="20" width="6.28515625" customWidth="1"/>
    <col min="21" max="21" width="8.85546875" bestFit="1" customWidth="1"/>
    <col min="22" max="22" width="6.5703125" hidden="1" customWidth="1"/>
    <col min="23" max="23" width="7.140625" bestFit="1" customWidth="1"/>
    <col min="24" max="24" width="6.5703125" hidden="1" customWidth="1"/>
    <col min="25" max="25" width="7" style="507" customWidth="1"/>
    <col min="26" max="26" width="8.85546875" customWidth="1"/>
    <col min="27" max="27" width="9.7109375" bestFit="1" customWidth="1"/>
    <col min="28" max="28" width="8.42578125" bestFit="1" customWidth="1"/>
    <col min="29" max="29" width="9.28515625" style="39" hidden="1" customWidth="1"/>
    <col min="30" max="30" width="8.85546875" bestFit="1" customWidth="1"/>
  </cols>
  <sheetData>
    <row r="1" spans="1:34" ht="32.25" customHeight="1">
      <c r="A1" s="77"/>
      <c r="B1" s="77"/>
      <c r="C1" s="77"/>
      <c r="D1" s="79" t="str">
        <f>sysX!A2</f>
        <v>4301</v>
      </c>
      <c r="E1" s="79" t="str">
        <f>sysX!A4</f>
        <v>BERJASEN</v>
      </c>
      <c r="F1" s="80"/>
      <c r="G1" s="80"/>
      <c r="H1" s="81" t="str">
        <f>sysX!A6</f>
        <v>2019</v>
      </c>
      <c r="I1" s="77"/>
      <c r="J1" s="77"/>
      <c r="K1" s="77"/>
      <c r="L1" s="77"/>
      <c r="M1" s="77"/>
      <c r="N1" s="77"/>
      <c r="O1" s="77"/>
      <c r="P1" s="77"/>
      <c r="Q1" s="77"/>
      <c r="R1" s="77"/>
      <c r="S1" s="77"/>
      <c r="T1" s="77"/>
      <c r="U1" s="77"/>
      <c r="V1" s="77"/>
      <c r="W1" s="77"/>
      <c r="X1" s="77"/>
      <c r="Y1" s="501"/>
      <c r="Z1" s="77"/>
      <c r="AA1" s="77"/>
      <c r="AB1" s="77"/>
      <c r="AC1" s="77"/>
      <c r="AD1" s="77"/>
      <c r="AE1" s="77"/>
      <c r="AF1" s="77"/>
    </row>
    <row r="2" spans="1:34" ht="10.5" customHeight="1">
      <c r="A2" s="11"/>
      <c r="B2" s="11"/>
      <c r="C2" s="11"/>
      <c r="D2" s="831" t="s">
        <v>15</v>
      </c>
      <c r="E2" s="831"/>
      <c r="F2" s="831"/>
      <c r="G2" s="831"/>
      <c r="H2" s="831"/>
      <c r="I2" s="831"/>
      <c r="J2" s="831"/>
      <c r="K2" s="831"/>
      <c r="L2" s="833" t="str">
        <f>IF(ISERROR(((E6*(O6-L7))/COUNTIF(C8:C60,0)-2)/T6),"",((E6*(O6-L7))/COUNTIF(C8:C60,0)-2)/T6)</f>
        <v/>
      </c>
      <c r="M2" s="833"/>
      <c r="N2" s="833"/>
      <c r="O2" s="833"/>
      <c r="P2" s="833"/>
      <c r="Q2" s="835" t="str">
        <f>IFERROR(CONCATENATE("Reelt kroneavvik Lønn:   ",EVEN((O6-L7)*E6)),"")</f>
        <v/>
      </c>
      <c r="R2" s="835"/>
      <c r="S2" s="835"/>
      <c r="T2" s="835"/>
      <c r="U2" s="835"/>
      <c r="V2" s="835"/>
      <c r="W2" s="835"/>
      <c r="X2" s="835"/>
      <c r="Y2" s="835"/>
      <c r="Z2" s="835"/>
      <c r="AA2" s="835"/>
      <c r="AB2" s="835"/>
      <c r="AD2" s="11"/>
      <c r="AE2" s="11"/>
      <c r="AF2" s="11"/>
    </row>
    <row r="3" spans="1:34" ht="10.5" customHeight="1" thickBot="1">
      <c r="A3" s="12"/>
      <c r="B3" s="12"/>
      <c r="C3" s="12"/>
      <c r="D3" s="832"/>
      <c r="E3" s="832"/>
      <c r="F3" s="832"/>
      <c r="G3" s="832"/>
      <c r="H3" s="832"/>
      <c r="I3" s="832"/>
      <c r="J3" s="832"/>
      <c r="K3" s="832"/>
      <c r="L3" s="834"/>
      <c r="M3" s="834"/>
      <c r="N3" s="834"/>
      <c r="O3" s="834"/>
      <c r="P3" s="834"/>
      <c r="Q3" s="836"/>
      <c r="R3" s="836"/>
      <c r="S3" s="836"/>
      <c r="T3" s="836"/>
      <c r="U3" s="836"/>
      <c r="V3" s="836"/>
      <c r="W3" s="836"/>
      <c r="X3" s="836"/>
      <c r="Y3" s="836"/>
      <c r="Z3" s="836"/>
      <c r="AA3" s="836"/>
      <c r="AB3" s="836"/>
      <c r="AD3" s="11"/>
      <c r="AE3" s="11"/>
      <c r="AF3" s="11"/>
    </row>
    <row r="4" spans="1:34" ht="10.5" customHeight="1">
      <c r="A4" s="13"/>
      <c r="B4" s="14"/>
      <c r="C4" s="14"/>
      <c r="D4" s="837" t="s">
        <v>16</v>
      </c>
      <c r="E4" s="838"/>
      <c r="F4" s="837" t="s">
        <v>17</v>
      </c>
      <c r="G4" s="839"/>
      <c r="H4" s="838"/>
      <c r="I4" s="837" t="s">
        <v>18</v>
      </c>
      <c r="J4" s="839"/>
      <c r="K4" s="838"/>
      <c r="L4" s="837" t="s">
        <v>19</v>
      </c>
      <c r="M4" s="839"/>
      <c r="N4" s="839"/>
      <c r="O4" s="839"/>
      <c r="P4" s="838"/>
      <c r="Q4" s="837" t="s">
        <v>20</v>
      </c>
      <c r="R4" s="838"/>
      <c r="S4" s="840" t="s">
        <v>21</v>
      </c>
      <c r="T4" s="841"/>
      <c r="U4" s="842" t="s">
        <v>6</v>
      </c>
      <c r="V4" s="843"/>
      <c r="W4" s="843"/>
      <c r="X4" s="843"/>
      <c r="Y4" s="837" t="s">
        <v>157</v>
      </c>
      <c r="Z4" s="838"/>
      <c r="AA4" s="842" t="s">
        <v>52</v>
      </c>
      <c r="AB4" s="858"/>
      <c r="AC4" s="40"/>
      <c r="AD4" s="842" t="s">
        <v>53</v>
      </c>
      <c r="AE4" s="858"/>
      <c r="AF4" s="316" t="s">
        <v>50</v>
      </c>
    </row>
    <row r="5" spans="1:34" ht="10.5" customHeight="1" thickBot="1">
      <c r="A5" s="15"/>
      <c r="B5" s="12"/>
      <c r="C5" s="12"/>
      <c r="D5" s="240" t="s">
        <v>22</v>
      </c>
      <c r="E5" s="241" t="s">
        <v>23</v>
      </c>
      <c r="F5" s="242" t="s">
        <v>22</v>
      </c>
      <c r="G5" s="243" t="s">
        <v>24</v>
      </c>
      <c r="H5" s="241" t="s">
        <v>23</v>
      </c>
      <c r="I5" s="240" t="s">
        <v>22</v>
      </c>
      <c r="J5" s="243" t="s">
        <v>24</v>
      </c>
      <c r="K5" s="241" t="s">
        <v>23</v>
      </c>
      <c r="L5" s="16" t="s">
        <v>22</v>
      </c>
      <c r="M5" s="18"/>
      <c r="N5" s="18"/>
      <c r="O5" s="15" t="s">
        <v>23</v>
      </c>
      <c r="P5" s="19"/>
      <c r="Q5" s="16" t="s">
        <v>22</v>
      </c>
      <c r="R5" s="17" t="s">
        <v>23</v>
      </c>
      <c r="S5" s="20" t="s">
        <v>22</v>
      </c>
      <c r="T5" s="17" t="s">
        <v>23</v>
      </c>
      <c r="U5" s="21" t="s">
        <v>22</v>
      </c>
      <c r="V5" s="22"/>
      <c r="W5" s="22" t="s">
        <v>23</v>
      </c>
      <c r="X5" s="22"/>
      <c r="Y5" s="502" t="s">
        <v>312</v>
      </c>
      <c r="Z5" s="241" t="s">
        <v>158</v>
      </c>
      <c r="AA5" s="22" t="s">
        <v>25</v>
      </c>
      <c r="AB5" s="23" t="s">
        <v>26</v>
      </c>
      <c r="AC5" s="39" t="s">
        <v>28</v>
      </c>
      <c r="AD5" s="21" t="s">
        <v>25</v>
      </c>
      <c r="AE5" s="23" t="s">
        <v>26</v>
      </c>
      <c r="AF5" s="317" t="s">
        <v>158</v>
      </c>
    </row>
    <row r="6" spans="1:34" s="43" customFormat="1" ht="15">
      <c r="A6" s="303" t="s">
        <v>27</v>
      </c>
      <c r="B6" s="304"/>
      <c r="C6" s="304"/>
      <c r="D6" s="305">
        <f t="shared" ref="D6:I6" si="0">SUM(D8:D61)</f>
        <v>0</v>
      </c>
      <c r="E6" s="844">
        <f t="shared" si="0"/>
        <v>0</v>
      </c>
      <c r="F6" s="305">
        <f t="shared" si="0"/>
        <v>0</v>
      </c>
      <c r="G6" s="846" t="str">
        <f>IFERROR(L7*E6/T6,"")</f>
        <v/>
      </c>
      <c r="H6" s="844">
        <f t="shared" si="0"/>
        <v>0</v>
      </c>
      <c r="I6" s="305">
        <f t="shared" si="0"/>
        <v>0</v>
      </c>
      <c r="J6" s="846">
        <f>SUM(J8:J61)</f>
        <v>0</v>
      </c>
      <c r="K6" s="844">
        <f>SUM(K8:K61)</f>
        <v>0</v>
      </c>
      <c r="L6" s="306" t="str">
        <f>IF(ISERROR(I6/D6),"",I6/D6)</f>
        <v/>
      </c>
      <c r="M6" s="307"/>
      <c r="N6" s="307"/>
      <c r="O6" s="856" t="str">
        <f>IF(ISERROR(K6/E6),"",K6/E6)</f>
        <v/>
      </c>
      <c r="P6" s="852"/>
      <c r="Q6" s="305" t="str">
        <f>IF(ISERROR(D6/F6),"",D6/F6)</f>
        <v/>
      </c>
      <c r="R6" s="844" t="str">
        <f>IF(ISERROR(E6/H6),"",E6/H6)</f>
        <v/>
      </c>
      <c r="S6" s="305" t="str">
        <f>IF(ISERROR(I6/F6),"",I6/F6)</f>
        <v/>
      </c>
      <c r="T6" s="854" t="str">
        <f>IF(ISERROR(K6/H6),"",K6/H6)</f>
        <v/>
      </c>
      <c r="U6" s="308" t="str">
        <f>IFERROR(SUM(V8:V61)/SUM(D8:D61),"")</f>
        <v/>
      </c>
      <c r="V6" s="309"/>
      <c r="W6" s="848" t="str">
        <f>IFERROR(SUM(X8:X61)/SUM(E8:E61),"")</f>
        <v/>
      </c>
      <c r="X6" s="309"/>
      <c r="Y6" s="503"/>
      <c r="Z6" s="850"/>
      <c r="AA6" s="859">
        <f>SUM(AA8:AA61)</f>
        <v>0</v>
      </c>
      <c r="AB6" s="848" t="str">
        <f>IFERROR(AA6/(E6-D7+D6),"")</f>
        <v/>
      </c>
      <c r="AC6" s="310"/>
      <c r="AD6" s="859">
        <f>SUM(AD8:AD61)</f>
        <v>0</v>
      </c>
      <c r="AE6" s="848" t="str">
        <f>IFERROR(AD6/(E6-D7+D6),"")</f>
        <v/>
      </c>
      <c r="AF6" s="848"/>
    </row>
    <row r="7" spans="1:34" s="44" customFormat="1" ht="15.75" thickBot="1">
      <c r="A7" s="311" t="s">
        <v>51</v>
      </c>
      <c r="B7" s="312"/>
      <c r="C7" s="312"/>
      <c r="D7" s="313">
        <f>SUMIF($C8:$C61,1,D8:D61)</f>
        <v>0</v>
      </c>
      <c r="E7" s="845"/>
      <c r="F7" s="313">
        <f t="shared" ref="F7:K7" si="1">SUMIF($C8:$C61,1,F8:F61)</f>
        <v>0</v>
      </c>
      <c r="G7" s="847" t="str">
        <f>IFERROR(L7*E7/T7,"")</f>
        <v/>
      </c>
      <c r="H7" s="845"/>
      <c r="I7" s="313">
        <f t="shared" si="1"/>
        <v>0</v>
      </c>
      <c r="J7" s="847" t="str">
        <f>IFERROR(L7*E7,"")</f>
        <v/>
      </c>
      <c r="K7" s="845">
        <f t="shared" si="1"/>
        <v>0</v>
      </c>
      <c r="L7" s="314" t="str">
        <f>IF(ISERROR(SUMIF($C8:$C61,1,M8:M61)/D7),"",SUMIF($C8:$C61,1,M8:M61)/D7)</f>
        <v/>
      </c>
      <c r="M7" s="315"/>
      <c r="N7" s="315"/>
      <c r="O7" s="857"/>
      <c r="P7" s="853"/>
      <c r="Q7" s="313" t="str">
        <f>IF(ISERROR(SUMIF($C8:$C61,1,D8:D61)/SUMIF($C8:$C61,1,F8:F61)),"",SUMIF($C8:$C61,1,D8:D61)/SUMIF($C8:$C61,1,F8:F61))</f>
        <v/>
      </c>
      <c r="R7" s="845"/>
      <c r="S7" s="313" t="str">
        <f>IF(ISERROR(SUMIF($C8:$C61,1,I8:I61)/SUMIF($C8:$C61,1,F8:F61)),"",SUMIF($C8:$C61,1,I8:I61)/SUMIF($C8:$C61,1,F8:F61))</f>
        <v/>
      </c>
      <c r="T7" s="855"/>
      <c r="U7" s="256" t="str">
        <f>IFERROR(SUMIF(C8:C61,1,V8:V61)/SUMIF(C8:C61,1,D8:D61),"")</f>
        <v/>
      </c>
      <c r="V7" s="257"/>
      <c r="W7" s="849"/>
      <c r="X7" s="257"/>
      <c r="Y7" s="504"/>
      <c r="Z7" s="851"/>
      <c r="AA7" s="860"/>
      <c r="AB7" s="849"/>
      <c r="AC7" s="260"/>
      <c r="AD7" s="860"/>
      <c r="AE7" s="849"/>
      <c r="AF7" s="849"/>
    </row>
    <row r="8" spans="1:34" ht="10.5" customHeight="1">
      <c r="A8" s="24"/>
      <c r="B8" s="24">
        <v>0</v>
      </c>
      <c r="C8" s="24">
        <f>IF(E8&lt;&gt;"",1,0)</f>
        <v>0</v>
      </c>
      <c r="D8" s="246"/>
      <c r="E8" s="25"/>
      <c r="F8" s="246"/>
      <c r="G8" s="248" t="str">
        <f t="shared" ref="G8:G61" si="2">IFERROR(L8*E8/T8,IFERROR(L8*E8/T$6,""))</f>
        <v/>
      </c>
      <c r="H8" s="25"/>
      <c r="I8" s="246"/>
      <c r="J8" s="248" t="str">
        <f>IFERROR(L8*E8,"")</f>
        <v/>
      </c>
      <c r="K8" s="244"/>
      <c r="L8" s="263" t="str">
        <f t="shared" ref="L8:L15" si="3">IFERROR(I8/D8,"")</f>
        <v/>
      </c>
      <c r="M8" s="26" t="e">
        <f t="shared" ref="M8:M61" si="4">D8*L8</f>
        <v>#VALUE!</v>
      </c>
      <c r="N8" s="27" t="str">
        <f>IF(O8&lt;&gt;"",SUM($I$8:I8)/SUM($D$8:D8),"")</f>
        <v/>
      </c>
      <c r="O8" s="29" t="str">
        <f t="shared" ref="O8:O61" si="5">IF(ISERROR(K8/E8),"",K8/E8)</f>
        <v/>
      </c>
      <c r="P8" s="29" t="str">
        <f>IF(O8&lt;&gt;"",SUM($K$8:K8)/SUM($E$8:E8),"")</f>
        <v/>
      </c>
      <c r="Q8" s="250" t="str">
        <f>IF(ISERROR(D8/F8),"",D8/F8)</f>
        <v/>
      </c>
      <c r="R8" s="30" t="str">
        <f t="shared" ref="R8:R61" si="6">IF(ISERROR(E8/H8),"",E8/H8)</f>
        <v/>
      </c>
      <c r="S8" s="250" t="str">
        <f t="shared" ref="S8:S61" si="7">IF(ISERROR(I8/F8),"",I8/F8)</f>
        <v/>
      </c>
      <c r="T8" s="30" t="str">
        <f t="shared" ref="T8:T61" si="8">IF(ISERROR(K8/H8),"",K8/H8)</f>
        <v/>
      </c>
      <c r="U8" s="254"/>
      <c r="V8" s="252">
        <f>U8*D8</f>
        <v>0</v>
      </c>
      <c r="W8" s="32"/>
      <c r="X8" s="252">
        <f>W8*E8</f>
        <v>0</v>
      </c>
      <c r="Y8" s="505"/>
      <c r="Z8" s="301"/>
      <c r="AA8" s="31">
        <f>IF(D8=0,0,IF(K8="",(D8*L8)-((K$6-J$6)/(COUNTIF(C$8:C$61,0)-2)),K8))</f>
        <v>0</v>
      </c>
      <c r="AB8" s="32" t="str">
        <f>IFERROR(IF(E8="",AA8/D8,AA8/E8),"")</f>
        <v/>
      </c>
      <c r="AC8" s="41"/>
      <c r="AD8" s="261">
        <f t="shared" ref="AD8:AD41" si="9">IF(D8=0,0,IF(W8=0,(D8*U8)-(((W$6*E$6)-(U$7*E$6))/(COUNTIF(C$8:C$61,0)-2)),X8))</f>
        <v>0</v>
      </c>
      <c r="AE8" s="32" t="str">
        <f>IFERROR(IF(E8="",AD8/D8,AD8/E8),"")</f>
        <v/>
      </c>
      <c r="AF8" s="318" t="str">
        <f>IFERROR(Z8+W8+O8,"")</f>
        <v/>
      </c>
    </row>
    <row r="9" spans="1:34" ht="10.5" customHeight="1">
      <c r="A9" s="24"/>
      <c r="B9" s="24">
        <v>1</v>
      </c>
      <c r="C9" s="24">
        <f t="shared" ref="C9:C61" si="10">IF(E9&lt;&gt;"",1,0)</f>
        <v>0</v>
      </c>
      <c r="D9" s="246"/>
      <c r="E9" s="25"/>
      <c r="F9" s="246"/>
      <c r="G9" s="248" t="str">
        <f t="shared" si="2"/>
        <v/>
      </c>
      <c r="H9" s="25"/>
      <c r="I9" s="246"/>
      <c r="J9" s="248" t="str">
        <f>IFERROR(L9*E9,"")</f>
        <v/>
      </c>
      <c r="K9" s="244"/>
      <c r="L9" s="263" t="str">
        <f t="shared" si="3"/>
        <v/>
      </c>
      <c r="M9" s="26" t="e">
        <f t="shared" si="4"/>
        <v>#VALUE!</v>
      </c>
      <c r="N9" s="27" t="str">
        <f>IFERROR(SUM($I$8:I9)/SUM($D$8:D9),"")</f>
        <v/>
      </c>
      <c r="O9" s="29" t="str">
        <f t="shared" si="5"/>
        <v/>
      </c>
      <c r="P9" s="29" t="str">
        <f>IF(O9&lt;&gt;"",SUM($K$8:K9)/SUM($E$8:E9),"")</f>
        <v/>
      </c>
      <c r="Q9" s="250" t="str">
        <f t="shared" ref="Q9:Q61" si="11">IF(ISERROR(D9/F9),"",D9/F9)</f>
        <v/>
      </c>
      <c r="R9" s="30" t="str">
        <f t="shared" si="6"/>
        <v/>
      </c>
      <c r="S9" s="250" t="str">
        <f t="shared" si="7"/>
        <v/>
      </c>
      <c r="T9" s="30" t="str">
        <f t="shared" si="8"/>
        <v/>
      </c>
      <c r="U9" s="254"/>
      <c r="V9" s="252">
        <f t="shared" ref="V9:V61" si="12">U9*D9</f>
        <v>0</v>
      </c>
      <c r="W9" s="32"/>
      <c r="X9" s="252">
        <f t="shared" ref="X9:X61" si="13">W9*E9</f>
        <v>0</v>
      </c>
      <c r="Y9" s="505"/>
      <c r="Z9" s="301"/>
      <c r="AA9" s="31">
        <f t="shared" ref="AA9:AA61" si="14">IF(D9=0,0,IF(K9="",(D9*L9)-((K$6-J$6)/(COUNTIF(C$8:C$61,0)-2)),K9))</f>
        <v>0</v>
      </c>
      <c r="AB9" s="32" t="str">
        <f t="shared" ref="AB9:AB61" si="15">IFERROR(IF(E9="",AA9/D9,AA9/E9),"")</f>
        <v/>
      </c>
      <c r="AC9" s="41" t="e">
        <f>(I9-(SUM(K$8:K8)-SUM(J$8:J8))/(COUNTIF(C$8:C$61,"")-2))/D9</f>
        <v>#DIV/0!</v>
      </c>
      <c r="AD9" s="261">
        <f t="shared" si="9"/>
        <v>0</v>
      </c>
      <c r="AE9" s="32" t="str">
        <f t="shared" ref="AE9:AE61" si="16">IFERROR(IF(E9="",AD9/D9,AD9/E9),"")</f>
        <v/>
      </c>
      <c r="AF9" s="319" t="str">
        <f t="shared" ref="AF9:AF61" si="17">IFERROR(Z9+W9+O9,"")</f>
        <v/>
      </c>
      <c r="AG9" s="588"/>
      <c r="AH9" s="625"/>
    </row>
    <row r="10" spans="1:34" ht="10.5" customHeight="1">
      <c r="A10" s="24"/>
      <c r="B10" s="24">
        <v>1</v>
      </c>
      <c r="C10" s="24">
        <f t="shared" si="10"/>
        <v>0</v>
      </c>
      <c r="D10" s="246"/>
      <c r="E10" s="25"/>
      <c r="F10" s="246"/>
      <c r="G10" s="248" t="str">
        <f t="shared" si="2"/>
        <v/>
      </c>
      <c r="H10" s="25"/>
      <c r="I10" s="246"/>
      <c r="J10" s="248" t="str">
        <f t="shared" ref="J10:J61" si="18">IFERROR(L10*E10,"")</f>
        <v/>
      </c>
      <c r="K10" s="244"/>
      <c r="L10" s="263" t="str">
        <f t="shared" si="3"/>
        <v/>
      </c>
      <c r="M10" s="26" t="e">
        <f t="shared" si="4"/>
        <v>#VALUE!</v>
      </c>
      <c r="N10" s="27" t="str">
        <f>IFERROR(SUM($I$8:I10)/SUM($D$8:D10),"")</f>
        <v/>
      </c>
      <c r="O10" s="29" t="str">
        <f t="shared" si="5"/>
        <v/>
      </c>
      <c r="P10" s="29" t="str">
        <f>IF(O10&lt;&gt;"",SUM($K$8:K10)/SUM($E$8:E10),"")</f>
        <v/>
      </c>
      <c r="Q10" s="250" t="str">
        <f t="shared" si="11"/>
        <v/>
      </c>
      <c r="R10" s="30" t="str">
        <f t="shared" si="6"/>
        <v/>
      </c>
      <c r="S10" s="250" t="str">
        <f t="shared" si="7"/>
        <v/>
      </c>
      <c r="T10" s="30" t="str">
        <f t="shared" si="8"/>
        <v/>
      </c>
      <c r="U10" s="254"/>
      <c r="V10" s="252">
        <f t="shared" si="12"/>
        <v>0</v>
      </c>
      <c r="W10" s="32"/>
      <c r="X10" s="252">
        <f t="shared" si="13"/>
        <v>0</v>
      </c>
      <c r="Y10" s="505"/>
      <c r="Z10" s="301"/>
      <c r="AA10" s="31">
        <f t="shared" si="14"/>
        <v>0</v>
      </c>
      <c r="AB10" s="32" t="str">
        <f t="shared" si="15"/>
        <v/>
      </c>
      <c r="AC10" s="41" t="e">
        <f>(I10-(SUM(K$8:K9)-SUM(J$8:J9))/(COUNTIF(C$8:C$61,"")-2))/D10</f>
        <v>#DIV/0!</v>
      </c>
      <c r="AD10" s="261">
        <f t="shared" si="9"/>
        <v>0</v>
      </c>
      <c r="AE10" s="32" t="str">
        <f t="shared" si="16"/>
        <v/>
      </c>
      <c r="AF10" s="319" t="str">
        <f t="shared" si="17"/>
        <v/>
      </c>
      <c r="AG10" s="588"/>
    </row>
    <row r="11" spans="1:34" ht="10.5" customHeight="1">
      <c r="A11" s="24"/>
      <c r="B11" s="24">
        <v>1</v>
      </c>
      <c r="C11" s="24">
        <f t="shared" si="10"/>
        <v>0</v>
      </c>
      <c r="D11" s="246"/>
      <c r="E11" s="25"/>
      <c r="F11" s="246"/>
      <c r="G11" s="248" t="str">
        <f t="shared" si="2"/>
        <v/>
      </c>
      <c r="H11" s="25"/>
      <c r="I11" s="246"/>
      <c r="J11" s="248" t="str">
        <f t="shared" si="18"/>
        <v/>
      </c>
      <c r="K11" s="244"/>
      <c r="L11" s="263" t="str">
        <f t="shared" si="3"/>
        <v/>
      </c>
      <c r="M11" s="26" t="e">
        <f t="shared" si="4"/>
        <v>#VALUE!</v>
      </c>
      <c r="N11" s="27" t="str">
        <f>IFERROR(SUM($I$8:I11)/SUM($D$8:D11),"")</f>
        <v/>
      </c>
      <c r="O11" s="29" t="str">
        <f t="shared" si="5"/>
        <v/>
      </c>
      <c r="P11" s="29" t="str">
        <f>IF(O11&lt;&gt;"",SUM($K$8:K11)/SUM($E$8:E11),"")</f>
        <v/>
      </c>
      <c r="Q11" s="250" t="str">
        <f t="shared" si="11"/>
        <v/>
      </c>
      <c r="R11" s="30" t="str">
        <f t="shared" si="6"/>
        <v/>
      </c>
      <c r="S11" s="250" t="str">
        <f t="shared" si="7"/>
        <v/>
      </c>
      <c r="T11" s="30" t="str">
        <f t="shared" si="8"/>
        <v/>
      </c>
      <c r="U11" s="254"/>
      <c r="V11" s="252">
        <f t="shared" si="12"/>
        <v>0</v>
      </c>
      <c r="W11" s="32"/>
      <c r="X11" s="252">
        <f t="shared" si="13"/>
        <v>0</v>
      </c>
      <c r="Y11" s="505"/>
      <c r="Z11" s="301"/>
      <c r="AA11" s="31">
        <f t="shared" si="14"/>
        <v>0</v>
      </c>
      <c r="AB11" s="32" t="str">
        <f t="shared" si="15"/>
        <v/>
      </c>
      <c r="AC11" s="41" t="e">
        <f>(I11-(SUM(K$8:K10)-SUM(J$8:J10))/(COUNTIF(C$8:C$61,"")-2))/D11</f>
        <v>#DIV/0!</v>
      </c>
      <c r="AD11" s="261">
        <f t="shared" si="9"/>
        <v>0</v>
      </c>
      <c r="AE11" s="32" t="str">
        <f t="shared" si="16"/>
        <v/>
      </c>
      <c r="AF11" s="319" t="str">
        <f t="shared" si="17"/>
        <v/>
      </c>
      <c r="AG11" s="588"/>
    </row>
    <row r="12" spans="1:34" ht="10.5" customHeight="1">
      <c r="A12" s="24"/>
      <c r="B12" s="24">
        <v>1</v>
      </c>
      <c r="C12" s="24">
        <f t="shared" si="10"/>
        <v>0</v>
      </c>
      <c r="D12" s="246"/>
      <c r="E12" s="25"/>
      <c r="F12" s="246"/>
      <c r="G12" s="248" t="str">
        <f t="shared" si="2"/>
        <v/>
      </c>
      <c r="H12" s="25"/>
      <c r="I12" s="246"/>
      <c r="J12" s="248" t="str">
        <f t="shared" si="18"/>
        <v/>
      </c>
      <c r="K12" s="244"/>
      <c r="L12" s="263" t="str">
        <f t="shared" si="3"/>
        <v/>
      </c>
      <c r="M12" s="26" t="e">
        <f t="shared" si="4"/>
        <v>#VALUE!</v>
      </c>
      <c r="N12" s="27" t="str">
        <f>IFERROR(SUM($I$8:I12)/SUM($D$8:D12),"")</f>
        <v/>
      </c>
      <c r="O12" s="29" t="str">
        <f t="shared" si="5"/>
        <v/>
      </c>
      <c r="P12" s="29" t="str">
        <f>IF(O12&lt;&gt;"",SUM($K$8:K12)/SUM($E$8:E12),"")</f>
        <v/>
      </c>
      <c r="Q12" s="250" t="str">
        <f t="shared" si="11"/>
        <v/>
      </c>
      <c r="R12" s="30" t="str">
        <f t="shared" si="6"/>
        <v/>
      </c>
      <c r="S12" s="250" t="str">
        <f t="shared" si="7"/>
        <v/>
      </c>
      <c r="T12" s="30" t="str">
        <f t="shared" si="8"/>
        <v/>
      </c>
      <c r="U12" s="254"/>
      <c r="V12" s="252">
        <f t="shared" si="12"/>
        <v>0</v>
      </c>
      <c r="W12" s="32"/>
      <c r="X12" s="252">
        <f t="shared" si="13"/>
        <v>0</v>
      </c>
      <c r="Y12" s="505"/>
      <c r="Z12" s="301"/>
      <c r="AA12" s="31">
        <f t="shared" si="14"/>
        <v>0</v>
      </c>
      <c r="AB12" s="32" t="str">
        <f t="shared" si="15"/>
        <v/>
      </c>
      <c r="AC12" s="41" t="e">
        <f>(I12-(SUM(K$8:K11)-SUM(J$8:J11))/(COUNTIF(C$8:C$61,"")-2))/D12</f>
        <v>#DIV/0!</v>
      </c>
      <c r="AD12" s="261">
        <f t="shared" si="9"/>
        <v>0</v>
      </c>
      <c r="AE12" s="32" t="str">
        <f t="shared" si="16"/>
        <v/>
      </c>
      <c r="AF12" s="319" t="str">
        <f t="shared" si="17"/>
        <v/>
      </c>
      <c r="AG12" s="588"/>
      <c r="AH12" s="625"/>
    </row>
    <row r="13" spans="1:34" ht="10.5" customHeight="1">
      <c r="A13" s="24"/>
      <c r="B13" s="24">
        <v>1</v>
      </c>
      <c r="C13" s="24">
        <f t="shared" si="10"/>
        <v>0</v>
      </c>
      <c r="D13" s="246"/>
      <c r="E13" s="25"/>
      <c r="F13" s="246"/>
      <c r="G13" s="248" t="str">
        <f t="shared" si="2"/>
        <v/>
      </c>
      <c r="H13" s="25"/>
      <c r="I13" s="246"/>
      <c r="J13" s="248" t="str">
        <f t="shared" si="18"/>
        <v/>
      </c>
      <c r="K13" s="244"/>
      <c r="L13" s="263" t="str">
        <f t="shared" si="3"/>
        <v/>
      </c>
      <c r="M13" s="26" t="e">
        <f t="shared" si="4"/>
        <v>#VALUE!</v>
      </c>
      <c r="N13" s="27" t="str">
        <f>IFERROR(SUM($I$8:I13)/SUM($D$8:D13),"")</f>
        <v/>
      </c>
      <c r="O13" s="29" t="str">
        <f t="shared" si="5"/>
        <v/>
      </c>
      <c r="P13" s="29" t="str">
        <f>IF(O13&lt;&gt;"",SUM($K$8:K13)/SUM($E$8:E13),"")</f>
        <v/>
      </c>
      <c r="Q13" s="250" t="str">
        <f t="shared" si="11"/>
        <v/>
      </c>
      <c r="R13" s="30" t="str">
        <f t="shared" si="6"/>
        <v/>
      </c>
      <c r="S13" s="250" t="str">
        <f t="shared" si="7"/>
        <v/>
      </c>
      <c r="T13" s="30" t="str">
        <f t="shared" si="8"/>
        <v/>
      </c>
      <c r="U13" s="254"/>
      <c r="V13" s="252">
        <f t="shared" si="12"/>
        <v>0</v>
      </c>
      <c r="W13" s="32"/>
      <c r="X13" s="252">
        <f t="shared" si="13"/>
        <v>0</v>
      </c>
      <c r="Y13" s="505"/>
      <c r="Z13" s="301"/>
      <c r="AA13" s="31">
        <f t="shared" si="14"/>
        <v>0</v>
      </c>
      <c r="AB13" s="32" t="str">
        <f t="shared" si="15"/>
        <v/>
      </c>
      <c r="AC13" s="41" t="e">
        <f>(I13-(SUM(K$8:K12)-SUM(J$8:J12))/(COUNTIF(C$8:C$61,"")-2))/D13</f>
        <v>#DIV/0!</v>
      </c>
      <c r="AD13" s="261">
        <f t="shared" si="9"/>
        <v>0</v>
      </c>
      <c r="AE13" s="32" t="str">
        <f t="shared" si="16"/>
        <v/>
      </c>
      <c r="AF13" s="319" t="str">
        <f t="shared" si="17"/>
        <v/>
      </c>
      <c r="AG13" s="588"/>
    </row>
    <row r="14" spans="1:34" ht="10.5" customHeight="1">
      <c r="A14" s="24"/>
      <c r="B14" s="24">
        <v>1</v>
      </c>
      <c r="C14" s="24">
        <f t="shared" si="10"/>
        <v>0</v>
      </c>
      <c r="D14" s="246"/>
      <c r="E14" s="25"/>
      <c r="F14" s="246"/>
      <c r="G14" s="248" t="str">
        <f t="shared" si="2"/>
        <v/>
      </c>
      <c r="H14" s="25"/>
      <c r="I14" s="246"/>
      <c r="J14" s="248" t="str">
        <f t="shared" si="18"/>
        <v/>
      </c>
      <c r="K14" s="244"/>
      <c r="L14" s="263" t="str">
        <f t="shared" si="3"/>
        <v/>
      </c>
      <c r="M14" s="26" t="e">
        <f t="shared" si="4"/>
        <v>#VALUE!</v>
      </c>
      <c r="N14" s="27" t="str">
        <f>IFERROR(SUM($I$8:I14)/SUM($D$8:D14),"")</f>
        <v/>
      </c>
      <c r="O14" s="29" t="str">
        <f t="shared" si="5"/>
        <v/>
      </c>
      <c r="P14" s="29" t="str">
        <f>IF(O14&lt;&gt;"",SUM($K$8:K14)/SUM($E$8:E14),"")</f>
        <v/>
      </c>
      <c r="Q14" s="250" t="str">
        <f t="shared" si="11"/>
        <v/>
      </c>
      <c r="R14" s="30" t="str">
        <f t="shared" si="6"/>
        <v/>
      </c>
      <c r="S14" s="250" t="str">
        <f t="shared" si="7"/>
        <v/>
      </c>
      <c r="T14" s="30" t="str">
        <f t="shared" si="8"/>
        <v/>
      </c>
      <c r="U14" s="254"/>
      <c r="V14" s="252">
        <f t="shared" si="12"/>
        <v>0</v>
      </c>
      <c r="W14" s="32"/>
      <c r="X14" s="252">
        <f t="shared" si="13"/>
        <v>0</v>
      </c>
      <c r="Y14" s="505"/>
      <c r="Z14" s="301"/>
      <c r="AA14" s="31">
        <f t="shared" si="14"/>
        <v>0</v>
      </c>
      <c r="AB14" s="32" t="str">
        <f t="shared" si="15"/>
        <v/>
      </c>
      <c r="AC14" s="41" t="e">
        <f>(I14-(SUM(K$8:K13)-SUM(J$8:J13))/(COUNTIF(C$8:C$61,"")-2))/D14</f>
        <v>#DIV/0!</v>
      </c>
      <c r="AD14" s="261">
        <f t="shared" si="9"/>
        <v>0</v>
      </c>
      <c r="AE14" s="32" t="str">
        <f t="shared" si="16"/>
        <v/>
      </c>
      <c r="AF14" s="319" t="str">
        <f t="shared" si="17"/>
        <v/>
      </c>
      <c r="AG14" s="588"/>
    </row>
    <row r="15" spans="1:34" ht="10.5" customHeight="1">
      <c r="A15" s="24"/>
      <c r="B15" s="24">
        <v>1</v>
      </c>
      <c r="C15" s="24">
        <f t="shared" si="10"/>
        <v>0</v>
      </c>
      <c r="D15" s="246"/>
      <c r="E15" s="25"/>
      <c r="F15" s="246"/>
      <c r="G15" s="248" t="str">
        <f t="shared" si="2"/>
        <v/>
      </c>
      <c r="H15" s="25"/>
      <c r="I15" s="246"/>
      <c r="J15" s="248" t="str">
        <f t="shared" si="18"/>
        <v/>
      </c>
      <c r="K15" s="244"/>
      <c r="L15" s="263" t="str">
        <f t="shared" si="3"/>
        <v/>
      </c>
      <c r="M15" s="26" t="e">
        <f t="shared" si="4"/>
        <v>#VALUE!</v>
      </c>
      <c r="N15" s="27" t="str">
        <f>IFERROR(SUM($I$8:I15)/SUM($D$8:D15),"")</f>
        <v/>
      </c>
      <c r="O15" s="29" t="str">
        <f t="shared" si="5"/>
        <v/>
      </c>
      <c r="P15" s="29" t="str">
        <f>IF(O15&lt;&gt;"",SUM($K$8:K15)/SUM($E$8:E15),"")</f>
        <v/>
      </c>
      <c r="Q15" s="250" t="str">
        <f t="shared" si="11"/>
        <v/>
      </c>
      <c r="R15" s="30" t="str">
        <f t="shared" si="6"/>
        <v/>
      </c>
      <c r="S15" s="250" t="str">
        <f t="shared" si="7"/>
        <v/>
      </c>
      <c r="T15" s="30" t="str">
        <f t="shared" si="8"/>
        <v/>
      </c>
      <c r="U15" s="254"/>
      <c r="V15" s="252">
        <f t="shared" si="12"/>
        <v>0</v>
      </c>
      <c r="W15" s="32"/>
      <c r="X15" s="252">
        <f t="shared" si="13"/>
        <v>0</v>
      </c>
      <c r="Y15" s="505"/>
      <c r="Z15" s="301"/>
      <c r="AA15" s="31">
        <f t="shared" si="14"/>
        <v>0</v>
      </c>
      <c r="AB15" s="32" t="str">
        <f t="shared" si="15"/>
        <v/>
      </c>
      <c r="AC15" s="41" t="e">
        <f>(I15-(SUM(K$8:K14)-SUM(J$8:J14))/(COUNTIF(C$8:C$61,"")-2))/D15</f>
        <v>#DIV/0!</v>
      </c>
      <c r="AD15" s="261">
        <f t="shared" si="9"/>
        <v>0</v>
      </c>
      <c r="AE15" s="32" t="str">
        <f t="shared" si="16"/>
        <v/>
      </c>
      <c r="AF15" s="319" t="str">
        <f t="shared" si="17"/>
        <v/>
      </c>
      <c r="AG15" s="588"/>
      <c r="AH15" s="625"/>
    </row>
    <row r="16" spans="1:34" ht="10.5" customHeight="1">
      <c r="A16" s="24"/>
      <c r="B16" s="24">
        <v>1</v>
      </c>
      <c r="C16" s="24">
        <f t="shared" si="10"/>
        <v>0</v>
      </c>
      <c r="D16" s="246"/>
      <c r="E16" s="25"/>
      <c r="F16" s="246"/>
      <c r="G16" s="248" t="str">
        <f t="shared" si="2"/>
        <v/>
      </c>
      <c r="H16" s="25"/>
      <c r="I16" s="246"/>
      <c r="J16" s="248" t="str">
        <f t="shared" si="18"/>
        <v/>
      </c>
      <c r="K16" s="244"/>
      <c r="L16" s="263" t="str">
        <f>IFERROR(I16/D16,"")</f>
        <v/>
      </c>
      <c r="M16" s="26" t="e">
        <f t="shared" si="4"/>
        <v>#VALUE!</v>
      </c>
      <c r="N16" s="27" t="str">
        <f>IFERROR(SUM($I$8:I16)/SUM($D$8:D16),"")</f>
        <v/>
      </c>
      <c r="O16" s="29" t="str">
        <f t="shared" si="5"/>
        <v/>
      </c>
      <c r="P16" s="29" t="str">
        <f>IF(O16&lt;&gt;"",SUM($K$8:K16)/SUM($E$8:E16),"")</f>
        <v/>
      </c>
      <c r="Q16" s="250" t="str">
        <f t="shared" si="11"/>
        <v/>
      </c>
      <c r="R16" s="30" t="str">
        <f t="shared" si="6"/>
        <v/>
      </c>
      <c r="S16" s="250" t="str">
        <f t="shared" si="7"/>
        <v/>
      </c>
      <c r="T16" s="30" t="str">
        <f t="shared" si="8"/>
        <v/>
      </c>
      <c r="U16" s="254"/>
      <c r="V16" s="252">
        <f t="shared" si="12"/>
        <v>0</v>
      </c>
      <c r="W16" s="32"/>
      <c r="X16" s="252">
        <f t="shared" si="13"/>
        <v>0</v>
      </c>
      <c r="Y16" s="505"/>
      <c r="Z16" s="301"/>
      <c r="AA16" s="31">
        <f t="shared" si="14"/>
        <v>0</v>
      </c>
      <c r="AB16" s="32" t="str">
        <f t="shared" si="15"/>
        <v/>
      </c>
      <c r="AC16" s="41" t="e">
        <f>(I16-(SUM(K$8:K15)-SUM(J$8:J15))/(COUNTIF(C$8:C$61,"")-2))/D16</f>
        <v>#DIV/0!</v>
      </c>
      <c r="AD16" s="261">
        <f t="shared" si="9"/>
        <v>0</v>
      </c>
      <c r="AE16" s="32" t="str">
        <f t="shared" si="16"/>
        <v/>
      </c>
      <c r="AF16" s="319" t="str">
        <f t="shared" si="17"/>
        <v/>
      </c>
      <c r="AG16" s="588"/>
    </row>
    <row r="17" spans="1:34" ht="10.5" customHeight="1">
      <c r="A17" s="24"/>
      <c r="B17" s="24">
        <v>1</v>
      </c>
      <c r="C17" s="24">
        <f t="shared" si="10"/>
        <v>0</v>
      </c>
      <c r="D17" s="246"/>
      <c r="E17" s="25"/>
      <c r="F17" s="246"/>
      <c r="G17" s="248" t="str">
        <f t="shared" si="2"/>
        <v/>
      </c>
      <c r="H17" s="25"/>
      <c r="I17" s="246"/>
      <c r="J17" s="248" t="str">
        <f t="shared" si="18"/>
        <v/>
      </c>
      <c r="K17" s="244"/>
      <c r="L17" s="263" t="str">
        <f t="shared" ref="L17:L61" si="19">IFERROR(I17/D17,"")</f>
        <v/>
      </c>
      <c r="M17" s="26" t="e">
        <f t="shared" si="4"/>
        <v>#VALUE!</v>
      </c>
      <c r="N17" s="27" t="str">
        <f>IFERROR(SUM($I$8:I17)/SUM($D$8:D17),"")</f>
        <v/>
      </c>
      <c r="O17" s="29" t="str">
        <f t="shared" si="5"/>
        <v/>
      </c>
      <c r="P17" s="29" t="str">
        <f>IF(O17&lt;&gt;"",SUM($K$8:K17)/SUM($E$8:E17),"")</f>
        <v/>
      </c>
      <c r="Q17" s="250" t="str">
        <f t="shared" si="11"/>
        <v/>
      </c>
      <c r="R17" s="30" t="str">
        <f t="shared" si="6"/>
        <v/>
      </c>
      <c r="S17" s="250" t="str">
        <f t="shared" si="7"/>
        <v/>
      </c>
      <c r="T17" s="30" t="str">
        <f t="shared" si="8"/>
        <v/>
      </c>
      <c r="U17" s="254"/>
      <c r="V17" s="252">
        <f t="shared" si="12"/>
        <v>0</v>
      </c>
      <c r="W17" s="32"/>
      <c r="X17" s="252">
        <f t="shared" si="13"/>
        <v>0</v>
      </c>
      <c r="Y17" s="505"/>
      <c r="Z17" s="301"/>
      <c r="AA17" s="31">
        <f t="shared" si="14"/>
        <v>0</v>
      </c>
      <c r="AB17" s="32" t="str">
        <f t="shared" si="15"/>
        <v/>
      </c>
      <c r="AC17" s="41" t="e">
        <f>(I17-(SUM(K$8:K16)-SUM(J$8:J16))/(COUNTIF(C$8:C$61,"")-2))/D17</f>
        <v>#DIV/0!</v>
      </c>
      <c r="AD17" s="261">
        <f t="shared" si="9"/>
        <v>0</v>
      </c>
      <c r="AE17" s="32" t="str">
        <f t="shared" si="16"/>
        <v/>
      </c>
      <c r="AF17" s="319" t="str">
        <f t="shared" si="17"/>
        <v/>
      </c>
      <c r="AG17" s="588"/>
    </row>
    <row r="18" spans="1:34" ht="10.5" customHeight="1">
      <c r="A18" s="24"/>
      <c r="B18" s="24">
        <v>1</v>
      </c>
      <c r="C18" s="24">
        <f t="shared" si="10"/>
        <v>0</v>
      </c>
      <c r="D18" s="246"/>
      <c r="E18" s="25"/>
      <c r="F18" s="246"/>
      <c r="G18" s="248" t="str">
        <f t="shared" si="2"/>
        <v/>
      </c>
      <c r="H18" s="25"/>
      <c r="I18" s="246"/>
      <c r="J18" s="248" t="str">
        <f t="shared" si="18"/>
        <v/>
      </c>
      <c r="K18" s="244"/>
      <c r="L18" s="263" t="str">
        <f t="shared" si="19"/>
        <v/>
      </c>
      <c r="M18" s="26" t="e">
        <f t="shared" si="4"/>
        <v>#VALUE!</v>
      </c>
      <c r="N18" s="27" t="str">
        <f>IFERROR(SUM($I$8:I18)/SUM($D$8:D18),"")</f>
        <v/>
      </c>
      <c r="O18" s="29" t="str">
        <f t="shared" si="5"/>
        <v/>
      </c>
      <c r="P18" s="29" t="str">
        <f>IF(O18&lt;&gt;"",SUM($K$8:K18)/SUM($E$8:E18),"")</f>
        <v/>
      </c>
      <c r="Q18" s="250" t="str">
        <f t="shared" si="11"/>
        <v/>
      </c>
      <c r="R18" s="30" t="str">
        <f t="shared" si="6"/>
        <v/>
      </c>
      <c r="S18" s="250" t="str">
        <f t="shared" si="7"/>
        <v/>
      </c>
      <c r="T18" s="30" t="str">
        <f t="shared" si="8"/>
        <v/>
      </c>
      <c r="U18" s="254"/>
      <c r="V18" s="252">
        <f t="shared" si="12"/>
        <v>0</v>
      </c>
      <c r="W18" s="32"/>
      <c r="X18" s="252">
        <f t="shared" si="13"/>
        <v>0</v>
      </c>
      <c r="Y18" s="505"/>
      <c r="Z18" s="301"/>
      <c r="AA18" s="31">
        <f t="shared" si="14"/>
        <v>0</v>
      </c>
      <c r="AB18" s="32" t="str">
        <f t="shared" si="15"/>
        <v/>
      </c>
      <c r="AC18" s="41" t="e">
        <f>(I18-(SUM(K$8:K17)-SUM(J$8:J17))/(COUNTIF(C$8:C$61,"")-2))/D18</f>
        <v>#DIV/0!</v>
      </c>
      <c r="AD18" s="261">
        <f t="shared" si="9"/>
        <v>0</v>
      </c>
      <c r="AE18" s="32" t="str">
        <f t="shared" si="16"/>
        <v/>
      </c>
      <c r="AF18" s="319" t="str">
        <f t="shared" si="17"/>
        <v/>
      </c>
      <c r="AG18" s="588"/>
      <c r="AH18" s="625"/>
    </row>
    <row r="19" spans="1:34" ht="10.5" customHeight="1">
      <c r="A19" s="24"/>
      <c r="B19" s="24">
        <v>1</v>
      </c>
      <c r="C19" s="24">
        <f t="shared" si="10"/>
        <v>0</v>
      </c>
      <c r="D19" s="246"/>
      <c r="E19" s="25"/>
      <c r="F19" s="246"/>
      <c r="G19" s="248" t="str">
        <f t="shared" si="2"/>
        <v/>
      </c>
      <c r="H19" s="25"/>
      <c r="I19" s="246"/>
      <c r="J19" s="248" t="str">
        <f t="shared" si="18"/>
        <v/>
      </c>
      <c r="K19" s="244"/>
      <c r="L19" s="263" t="str">
        <f t="shared" si="19"/>
        <v/>
      </c>
      <c r="M19" s="26" t="e">
        <f t="shared" si="4"/>
        <v>#VALUE!</v>
      </c>
      <c r="N19" s="27" t="str">
        <f>IFERROR(SUM($I$8:I19)/SUM($D$8:D19),"")</f>
        <v/>
      </c>
      <c r="O19" s="29" t="str">
        <f t="shared" si="5"/>
        <v/>
      </c>
      <c r="P19" s="29" t="str">
        <f>IF(O19&lt;&gt;"",SUM($K$8:K19)/SUM($E$8:E19),"")</f>
        <v/>
      </c>
      <c r="Q19" s="250" t="str">
        <f t="shared" si="11"/>
        <v/>
      </c>
      <c r="R19" s="30" t="str">
        <f t="shared" si="6"/>
        <v/>
      </c>
      <c r="S19" s="250" t="str">
        <f t="shared" si="7"/>
        <v/>
      </c>
      <c r="T19" s="30" t="str">
        <f t="shared" si="8"/>
        <v/>
      </c>
      <c r="U19" s="254"/>
      <c r="V19" s="252">
        <f t="shared" si="12"/>
        <v>0</v>
      </c>
      <c r="W19" s="32"/>
      <c r="X19" s="252">
        <f t="shared" si="13"/>
        <v>0</v>
      </c>
      <c r="Y19" s="505"/>
      <c r="Z19" s="301"/>
      <c r="AA19" s="31">
        <f t="shared" si="14"/>
        <v>0</v>
      </c>
      <c r="AB19" s="32" t="str">
        <f t="shared" si="15"/>
        <v/>
      </c>
      <c r="AC19" s="41" t="e">
        <f>(I19-(SUM(K$8:K18)-SUM(J$8:J18))/(COUNTIF(C$8:C$61,"")-2))/D19</f>
        <v>#DIV/0!</v>
      </c>
      <c r="AD19" s="261">
        <f t="shared" si="9"/>
        <v>0</v>
      </c>
      <c r="AE19" s="32" t="str">
        <f t="shared" si="16"/>
        <v/>
      </c>
      <c r="AF19" s="319" t="str">
        <f t="shared" si="17"/>
        <v/>
      </c>
      <c r="AG19" s="588"/>
    </row>
    <row r="20" spans="1:34" ht="10.5" customHeight="1">
      <c r="A20" s="24"/>
      <c r="B20" s="24">
        <v>1</v>
      </c>
      <c r="C20" s="24">
        <f t="shared" si="10"/>
        <v>0</v>
      </c>
      <c r="D20" s="246"/>
      <c r="E20" s="25"/>
      <c r="F20" s="246"/>
      <c r="G20" s="248" t="str">
        <f t="shared" si="2"/>
        <v/>
      </c>
      <c r="H20" s="25"/>
      <c r="I20" s="246"/>
      <c r="J20" s="248" t="str">
        <f t="shared" si="18"/>
        <v/>
      </c>
      <c r="K20" s="244"/>
      <c r="L20" s="263" t="str">
        <f t="shared" si="19"/>
        <v/>
      </c>
      <c r="M20" s="26" t="e">
        <f t="shared" si="4"/>
        <v>#VALUE!</v>
      </c>
      <c r="N20" s="27" t="str">
        <f>IFERROR(SUM($I$8:I20)/SUM($D$8:D20),"")</f>
        <v/>
      </c>
      <c r="O20" s="29" t="str">
        <f t="shared" si="5"/>
        <v/>
      </c>
      <c r="P20" s="29" t="str">
        <f>IF(O20&lt;&gt;"",SUM($K$8:K20)/SUM($E$8:E20),"")</f>
        <v/>
      </c>
      <c r="Q20" s="250" t="str">
        <f t="shared" si="11"/>
        <v/>
      </c>
      <c r="R20" s="30" t="str">
        <f t="shared" si="6"/>
        <v/>
      </c>
      <c r="S20" s="250" t="str">
        <f t="shared" si="7"/>
        <v/>
      </c>
      <c r="T20" s="30" t="str">
        <f t="shared" si="8"/>
        <v/>
      </c>
      <c r="U20" s="254"/>
      <c r="V20" s="252">
        <f t="shared" si="12"/>
        <v>0</v>
      </c>
      <c r="W20" s="32"/>
      <c r="X20" s="252">
        <f t="shared" si="13"/>
        <v>0</v>
      </c>
      <c r="Y20" s="505"/>
      <c r="Z20" s="301"/>
      <c r="AA20" s="31">
        <f t="shared" si="14"/>
        <v>0</v>
      </c>
      <c r="AB20" s="32" t="str">
        <f t="shared" si="15"/>
        <v/>
      </c>
      <c r="AC20" s="41" t="e">
        <f>(I20-(SUM(K$8:K19)-SUM(J$8:J19))/(COUNTIF(C$8:C$61,"")-2))/D20</f>
        <v>#DIV/0!</v>
      </c>
      <c r="AD20" s="261">
        <f t="shared" si="9"/>
        <v>0</v>
      </c>
      <c r="AE20" s="32" t="str">
        <f t="shared" si="16"/>
        <v/>
      </c>
      <c r="AF20" s="319" t="str">
        <f t="shared" si="17"/>
        <v/>
      </c>
      <c r="AG20" s="588"/>
    </row>
    <row r="21" spans="1:34" ht="10.5" customHeight="1">
      <c r="A21" s="24"/>
      <c r="B21" s="24">
        <v>1</v>
      </c>
      <c r="C21" s="24">
        <f t="shared" si="10"/>
        <v>0</v>
      </c>
      <c r="D21" s="246"/>
      <c r="E21" s="25"/>
      <c r="F21" s="246"/>
      <c r="G21" s="248" t="str">
        <f t="shared" si="2"/>
        <v/>
      </c>
      <c r="H21" s="25"/>
      <c r="I21" s="246"/>
      <c r="J21" s="248" t="str">
        <f t="shared" si="18"/>
        <v/>
      </c>
      <c r="K21" s="244"/>
      <c r="L21" s="263" t="str">
        <f t="shared" si="19"/>
        <v/>
      </c>
      <c r="M21" s="26" t="e">
        <f t="shared" si="4"/>
        <v>#VALUE!</v>
      </c>
      <c r="N21" s="27" t="str">
        <f>IFERROR(SUM($I$8:I21)/SUM($D$8:D21),"")</f>
        <v/>
      </c>
      <c r="O21" s="29" t="str">
        <f t="shared" si="5"/>
        <v/>
      </c>
      <c r="P21" s="29" t="str">
        <f>IF(O21&lt;&gt;"",SUM($K$8:K21)/SUM($E$8:E21),"")</f>
        <v/>
      </c>
      <c r="Q21" s="250" t="str">
        <f t="shared" si="11"/>
        <v/>
      </c>
      <c r="R21" s="30" t="str">
        <f t="shared" si="6"/>
        <v/>
      </c>
      <c r="S21" s="250" t="str">
        <f t="shared" si="7"/>
        <v/>
      </c>
      <c r="T21" s="30" t="str">
        <f t="shared" si="8"/>
        <v/>
      </c>
      <c r="U21" s="254"/>
      <c r="V21" s="252">
        <f t="shared" si="12"/>
        <v>0</v>
      </c>
      <c r="W21" s="32"/>
      <c r="X21" s="252">
        <f t="shared" si="13"/>
        <v>0</v>
      </c>
      <c r="Y21" s="505"/>
      <c r="Z21" s="301"/>
      <c r="AA21" s="31">
        <f t="shared" si="14"/>
        <v>0</v>
      </c>
      <c r="AB21" s="32" t="str">
        <f t="shared" si="15"/>
        <v/>
      </c>
      <c r="AC21" s="41" t="e">
        <f>(I21-(SUM(K$8:K20)-SUM(J$8:J20))/(COUNTIF(C$8:C$61,"")-2))/D21</f>
        <v>#DIV/0!</v>
      </c>
      <c r="AD21" s="261">
        <f t="shared" si="9"/>
        <v>0</v>
      </c>
      <c r="AE21" s="32" t="str">
        <f t="shared" si="16"/>
        <v/>
      </c>
      <c r="AF21" s="319" t="str">
        <f t="shared" si="17"/>
        <v/>
      </c>
      <c r="AG21" s="588"/>
      <c r="AH21" s="625"/>
    </row>
    <row r="22" spans="1:34" ht="10.5" customHeight="1">
      <c r="A22" s="24"/>
      <c r="B22" s="24">
        <v>1</v>
      </c>
      <c r="C22" s="24">
        <f t="shared" si="10"/>
        <v>0</v>
      </c>
      <c r="D22" s="246"/>
      <c r="E22" s="25"/>
      <c r="F22" s="246"/>
      <c r="G22" s="248" t="str">
        <f t="shared" si="2"/>
        <v/>
      </c>
      <c r="H22" s="25"/>
      <c r="I22" s="246"/>
      <c r="J22" s="248" t="str">
        <f t="shared" si="18"/>
        <v/>
      </c>
      <c r="K22" s="244"/>
      <c r="L22" s="263" t="str">
        <f t="shared" si="19"/>
        <v/>
      </c>
      <c r="M22" s="33" t="e">
        <f t="shared" si="4"/>
        <v>#VALUE!</v>
      </c>
      <c r="N22" s="28" t="str">
        <f>IFERROR(SUM($I$8:I22)/SUM($D$8:D22),"")</f>
        <v/>
      </c>
      <c r="O22" s="29" t="str">
        <f t="shared" si="5"/>
        <v/>
      </c>
      <c r="P22" s="29" t="str">
        <f>IF(O22&lt;&gt;"",SUM($K$8:K22)/SUM($E$8:E22),"")</f>
        <v/>
      </c>
      <c r="Q22" s="250" t="str">
        <f t="shared" si="11"/>
        <v/>
      </c>
      <c r="R22" s="30" t="str">
        <f t="shared" si="6"/>
        <v/>
      </c>
      <c r="S22" s="250" t="str">
        <f t="shared" si="7"/>
        <v/>
      </c>
      <c r="T22" s="30" t="str">
        <f t="shared" si="8"/>
        <v/>
      </c>
      <c r="U22" s="254"/>
      <c r="V22" s="252">
        <f t="shared" si="12"/>
        <v>0</v>
      </c>
      <c r="W22" s="32"/>
      <c r="X22" s="252">
        <f t="shared" si="13"/>
        <v>0</v>
      </c>
      <c r="Y22" s="505"/>
      <c r="Z22" s="301"/>
      <c r="AA22" s="31">
        <f t="shared" si="14"/>
        <v>0</v>
      </c>
      <c r="AB22" s="32" t="str">
        <f t="shared" si="15"/>
        <v/>
      </c>
      <c r="AC22" s="41" t="e">
        <f>(I22-(SUM(K$8:K21)-SUM(J$8:J21))/(COUNTIF(C$8:C$61,"")-2))/D22</f>
        <v>#DIV/0!</v>
      </c>
      <c r="AD22" s="261">
        <f t="shared" si="9"/>
        <v>0</v>
      </c>
      <c r="AE22" s="32" t="str">
        <f t="shared" si="16"/>
        <v/>
      </c>
      <c r="AF22" s="319" t="str">
        <f t="shared" si="17"/>
        <v/>
      </c>
      <c r="AG22" s="588"/>
    </row>
    <row r="23" spans="1:34" ht="10.5" customHeight="1">
      <c r="A23" s="24"/>
      <c r="B23" s="24">
        <v>1</v>
      </c>
      <c r="C23" s="24">
        <f t="shared" si="10"/>
        <v>0</v>
      </c>
      <c r="D23" s="246"/>
      <c r="E23" s="25"/>
      <c r="F23" s="246"/>
      <c r="G23" s="248" t="str">
        <f t="shared" si="2"/>
        <v/>
      </c>
      <c r="H23" s="25"/>
      <c r="I23" s="246"/>
      <c r="J23" s="248" t="str">
        <f t="shared" si="18"/>
        <v/>
      </c>
      <c r="K23" s="244"/>
      <c r="L23" s="263" t="str">
        <f t="shared" si="19"/>
        <v/>
      </c>
      <c r="M23" s="33" t="e">
        <f t="shared" si="4"/>
        <v>#VALUE!</v>
      </c>
      <c r="N23" s="28" t="str">
        <f>IFERROR(SUM($I$8:I23)/SUM($D$8:D23),"")</f>
        <v/>
      </c>
      <c r="O23" s="29" t="str">
        <f t="shared" si="5"/>
        <v/>
      </c>
      <c r="P23" s="29" t="str">
        <f>IF(O23&lt;&gt;"",SUM($K$8:K23)/SUM($E$8:E23),"")</f>
        <v/>
      </c>
      <c r="Q23" s="250" t="str">
        <f t="shared" si="11"/>
        <v/>
      </c>
      <c r="R23" s="30" t="str">
        <f t="shared" si="6"/>
        <v/>
      </c>
      <c r="S23" s="250" t="str">
        <f t="shared" si="7"/>
        <v/>
      </c>
      <c r="T23" s="30" t="str">
        <f t="shared" si="8"/>
        <v/>
      </c>
      <c r="U23" s="254"/>
      <c r="V23" s="252">
        <f t="shared" si="12"/>
        <v>0</v>
      </c>
      <c r="W23" s="32"/>
      <c r="X23" s="252">
        <f t="shared" si="13"/>
        <v>0</v>
      </c>
      <c r="Y23" s="505"/>
      <c r="Z23" s="301"/>
      <c r="AA23" s="31">
        <f t="shared" si="14"/>
        <v>0</v>
      </c>
      <c r="AB23" s="32" t="str">
        <f t="shared" si="15"/>
        <v/>
      </c>
      <c r="AC23" s="41" t="e">
        <f>(I23-(SUM(K$8:K22)-SUM(J$8:J22))/(COUNTIF(C$8:C$61,"")-2))/D23</f>
        <v>#DIV/0!</v>
      </c>
      <c r="AD23" s="261">
        <f t="shared" si="9"/>
        <v>0</v>
      </c>
      <c r="AE23" s="32" t="str">
        <f t="shared" si="16"/>
        <v/>
      </c>
      <c r="AF23" s="319" t="str">
        <f t="shared" si="17"/>
        <v/>
      </c>
      <c r="AG23" s="588"/>
    </row>
    <row r="24" spans="1:34" ht="10.5" customHeight="1">
      <c r="A24" s="24"/>
      <c r="B24" s="24">
        <v>1</v>
      </c>
      <c r="C24" s="24">
        <f t="shared" si="10"/>
        <v>0</v>
      </c>
      <c r="D24" s="246"/>
      <c r="E24" s="25"/>
      <c r="F24" s="246"/>
      <c r="G24" s="248" t="str">
        <f t="shared" si="2"/>
        <v/>
      </c>
      <c r="H24" s="25"/>
      <c r="I24" s="246"/>
      <c r="J24" s="248" t="str">
        <f t="shared" si="18"/>
        <v/>
      </c>
      <c r="K24" s="244"/>
      <c r="L24" s="263" t="str">
        <f t="shared" si="19"/>
        <v/>
      </c>
      <c r="M24" s="33" t="e">
        <f t="shared" si="4"/>
        <v>#VALUE!</v>
      </c>
      <c r="N24" s="28" t="str">
        <f>IFERROR(SUM($I$8:I24)/SUM($D$8:D24),"")</f>
        <v/>
      </c>
      <c r="O24" s="29" t="str">
        <f t="shared" si="5"/>
        <v/>
      </c>
      <c r="P24" s="29" t="str">
        <f>IF(O24&lt;&gt;"",SUM($K$8:K24)/SUM($E$8:E24),"")</f>
        <v/>
      </c>
      <c r="Q24" s="250" t="str">
        <f t="shared" si="11"/>
        <v/>
      </c>
      <c r="R24" s="30" t="str">
        <f t="shared" si="6"/>
        <v/>
      </c>
      <c r="S24" s="250" t="str">
        <f t="shared" si="7"/>
        <v/>
      </c>
      <c r="T24" s="30" t="str">
        <f t="shared" si="8"/>
        <v/>
      </c>
      <c r="U24" s="254"/>
      <c r="V24" s="252">
        <f t="shared" si="12"/>
        <v>0</v>
      </c>
      <c r="W24" s="32"/>
      <c r="X24" s="252">
        <f t="shared" si="13"/>
        <v>0</v>
      </c>
      <c r="Y24" s="505"/>
      <c r="Z24" s="301"/>
      <c r="AA24" s="31">
        <f t="shared" si="14"/>
        <v>0</v>
      </c>
      <c r="AB24" s="32" t="str">
        <f t="shared" si="15"/>
        <v/>
      </c>
      <c r="AC24" s="41" t="e">
        <f>(I24-(SUM(K$8:K23)-SUM(J$8:J23))/(COUNTIF(C$8:C$61,"")-2))/D24</f>
        <v>#DIV/0!</v>
      </c>
      <c r="AD24" s="261">
        <f t="shared" si="9"/>
        <v>0</v>
      </c>
      <c r="AE24" s="32" t="str">
        <f t="shared" si="16"/>
        <v/>
      </c>
      <c r="AF24" s="319" t="str">
        <f t="shared" si="17"/>
        <v/>
      </c>
      <c r="AG24" s="588"/>
      <c r="AH24" s="625"/>
    </row>
    <row r="25" spans="1:34" ht="10.5" customHeight="1">
      <c r="A25" s="24"/>
      <c r="B25" s="24">
        <v>1</v>
      </c>
      <c r="C25" s="24">
        <f t="shared" si="10"/>
        <v>0</v>
      </c>
      <c r="D25" s="246"/>
      <c r="E25" s="25"/>
      <c r="F25" s="246"/>
      <c r="G25" s="248" t="str">
        <f t="shared" si="2"/>
        <v/>
      </c>
      <c r="H25" s="25"/>
      <c r="I25" s="246"/>
      <c r="J25" s="248" t="str">
        <f t="shared" si="18"/>
        <v/>
      </c>
      <c r="K25" s="244"/>
      <c r="L25" s="263" t="str">
        <f t="shared" si="19"/>
        <v/>
      </c>
      <c r="M25" s="33" t="e">
        <f t="shared" si="4"/>
        <v>#VALUE!</v>
      </c>
      <c r="N25" s="28" t="str">
        <f>IFERROR(SUM($I$8:I25)/SUM($D$8:D25),"")</f>
        <v/>
      </c>
      <c r="O25" s="29" t="str">
        <f t="shared" si="5"/>
        <v/>
      </c>
      <c r="P25" s="29" t="str">
        <f>IF(O25&lt;&gt;"",SUM($K$8:K25)/SUM($E$8:E25),"")</f>
        <v/>
      </c>
      <c r="Q25" s="250" t="str">
        <f t="shared" si="11"/>
        <v/>
      </c>
      <c r="R25" s="30" t="str">
        <f t="shared" si="6"/>
        <v/>
      </c>
      <c r="S25" s="250" t="str">
        <f t="shared" si="7"/>
        <v/>
      </c>
      <c r="T25" s="30" t="str">
        <f t="shared" si="8"/>
        <v/>
      </c>
      <c r="U25" s="254"/>
      <c r="V25" s="252">
        <f t="shared" si="12"/>
        <v>0</v>
      </c>
      <c r="W25" s="32"/>
      <c r="X25" s="252">
        <f t="shared" si="13"/>
        <v>0</v>
      </c>
      <c r="Y25" s="505"/>
      <c r="Z25" s="301"/>
      <c r="AA25" s="31">
        <f t="shared" si="14"/>
        <v>0</v>
      </c>
      <c r="AB25" s="32" t="str">
        <f t="shared" si="15"/>
        <v/>
      </c>
      <c r="AC25" s="41" t="e">
        <f>(I25-(SUM(K$8:K24)-SUM(J$8:J24))/(COUNTIF(C$8:C$61,"")-2))/D25</f>
        <v>#DIV/0!</v>
      </c>
      <c r="AD25" s="261">
        <f t="shared" si="9"/>
        <v>0</v>
      </c>
      <c r="AE25" s="32" t="str">
        <f t="shared" si="16"/>
        <v/>
      </c>
      <c r="AF25" s="319" t="str">
        <f t="shared" si="17"/>
        <v/>
      </c>
      <c r="AG25" s="588"/>
    </row>
    <row r="26" spans="1:34" ht="10.5" customHeight="1">
      <c r="A26" s="24"/>
      <c r="B26" s="24">
        <v>1</v>
      </c>
      <c r="C26" s="24">
        <f t="shared" si="10"/>
        <v>0</v>
      </c>
      <c r="D26" s="246"/>
      <c r="E26" s="25"/>
      <c r="F26" s="246"/>
      <c r="G26" s="248" t="str">
        <f t="shared" si="2"/>
        <v/>
      </c>
      <c r="H26" s="25"/>
      <c r="I26" s="246"/>
      <c r="J26" s="248" t="str">
        <f t="shared" si="18"/>
        <v/>
      </c>
      <c r="K26" s="244"/>
      <c r="L26" s="263" t="str">
        <f t="shared" si="19"/>
        <v/>
      </c>
      <c r="M26" s="33" t="e">
        <f t="shared" si="4"/>
        <v>#VALUE!</v>
      </c>
      <c r="N26" s="28" t="str">
        <f>IFERROR(SUM($I$8:I26)/SUM($D$8:D26),"")</f>
        <v/>
      </c>
      <c r="O26" s="29" t="str">
        <f t="shared" si="5"/>
        <v/>
      </c>
      <c r="P26" s="29" t="str">
        <f>IF(O26&lt;&gt;"",SUM($K$8:K26)/SUM($E$8:E26),"")</f>
        <v/>
      </c>
      <c r="Q26" s="250" t="str">
        <f t="shared" si="11"/>
        <v/>
      </c>
      <c r="R26" s="30" t="str">
        <f t="shared" si="6"/>
        <v/>
      </c>
      <c r="S26" s="250" t="str">
        <f t="shared" si="7"/>
        <v/>
      </c>
      <c r="T26" s="30" t="str">
        <f t="shared" si="8"/>
        <v/>
      </c>
      <c r="U26" s="254"/>
      <c r="V26" s="252">
        <f t="shared" si="12"/>
        <v>0</v>
      </c>
      <c r="W26" s="32"/>
      <c r="X26" s="252">
        <f t="shared" si="13"/>
        <v>0</v>
      </c>
      <c r="Y26" s="505"/>
      <c r="Z26" s="301"/>
      <c r="AA26" s="31">
        <f t="shared" si="14"/>
        <v>0</v>
      </c>
      <c r="AB26" s="32" t="str">
        <f t="shared" si="15"/>
        <v/>
      </c>
      <c r="AC26" s="41" t="e">
        <f>(I26-(SUM(K$8:K25)-SUM(J$8:J25))/(COUNTIF(C$8:C$61,"")-2))/D26</f>
        <v>#DIV/0!</v>
      </c>
      <c r="AD26" s="261">
        <f t="shared" si="9"/>
        <v>0</v>
      </c>
      <c r="AE26" s="32" t="str">
        <f t="shared" si="16"/>
        <v/>
      </c>
      <c r="AF26" s="319" t="str">
        <f t="shared" si="17"/>
        <v/>
      </c>
      <c r="AG26" s="588"/>
    </row>
    <row r="27" spans="1:34" ht="10.5" customHeight="1">
      <c r="A27" s="24"/>
      <c r="B27" s="24">
        <v>1</v>
      </c>
      <c r="C27" s="24">
        <f t="shared" si="10"/>
        <v>0</v>
      </c>
      <c r="D27" s="246"/>
      <c r="E27" s="25"/>
      <c r="F27" s="246"/>
      <c r="G27" s="248" t="str">
        <f t="shared" si="2"/>
        <v/>
      </c>
      <c r="H27" s="25"/>
      <c r="I27" s="246"/>
      <c r="J27" s="248" t="str">
        <f t="shared" si="18"/>
        <v/>
      </c>
      <c r="K27" s="244"/>
      <c r="L27" s="263" t="str">
        <f t="shared" si="19"/>
        <v/>
      </c>
      <c r="M27" s="33" t="e">
        <f t="shared" si="4"/>
        <v>#VALUE!</v>
      </c>
      <c r="N27" s="28" t="str">
        <f>IFERROR(SUM($I$8:I27)/SUM($D$8:D27),"")</f>
        <v/>
      </c>
      <c r="O27" s="29" t="str">
        <f t="shared" si="5"/>
        <v/>
      </c>
      <c r="P27" s="29" t="str">
        <f>IF(O27&lt;&gt;"",SUM($K$8:K27)/SUM($E$8:E27),"")</f>
        <v/>
      </c>
      <c r="Q27" s="250" t="str">
        <f t="shared" si="11"/>
        <v/>
      </c>
      <c r="R27" s="30" t="str">
        <f t="shared" si="6"/>
        <v/>
      </c>
      <c r="S27" s="250" t="str">
        <f t="shared" si="7"/>
        <v/>
      </c>
      <c r="T27" s="30" t="str">
        <f t="shared" si="8"/>
        <v/>
      </c>
      <c r="U27" s="254"/>
      <c r="V27" s="252">
        <f t="shared" si="12"/>
        <v>0</v>
      </c>
      <c r="W27" s="32"/>
      <c r="X27" s="252">
        <f t="shared" si="13"/>
        <v>0</v>
      </c>
      <c r="Y27" s="505"/>
      <c r="Z27" s="301"/>
      <c r="AA27" s="31">
        <f t="shared" si="14"/>
        <v>0</v>
      </c>
      <c r="AB27" s="32" t="str">
        <f t="shared" si="15"/>
        <v/>
      </c>
      <c r="AC27" s="41" t="e">
        <f>(I27-(SUM(K$8:K26)-SUM(J$8:J26))/(COUNTIF(C$8:C$61,"")-2))/D27</f>
        <v>#DIV/0!</v>
      </c>
      <c r="AD27" s="261">
        <f t="shared" si="9"/>
        <v>0</v>
      </c>
      <c r="AE27" s="32" t="str">
        <f t="shared" si="16"/>
        <v/>
      </c>
      <c r="AF27" s="319" t="str">
        <f t="shared" si="17"/>
        <v/>
      </c>
      <c r="AG27" s="588"/>
      <c r="AH27" s="625"/>
    </row>
    <row r="28" spans="1:34" ht="10.5" customHeight="1">
      <c r="A28" s="24"/>
      <c r="B28" s="24">
        <v>1</v>
      </c>
      <c r="C28" s="24">
        <f t="shared" si="10"/>
        <v>0</v>
      </c>
      <c r="D28" s="246"/>
      <c r="E28" s="25"/>
      <c r="F28" s="246"/>
      <c r="G28" s="248" t="str">
        <f t="shared" si="2"/>
        <v/>
      </c>
      <c r="H28" s="25"/>
      <c r="I28" s="246"/>
      <c r="J28" s="248" t="str">
        <f t="shared" si="18"/>
        <v/>
      </c>
      <c r="K28" s="244"/>
      <c r="L28" s="263" t="str">
        <f t="shared" si="19"/>
        <v/>
      </c>
      <c r="M28" s="33" t="e">
        <f t="shared" si="4"/>
        <v>#VALUE!</v>
      </c>
      <c r="N28" s="28" t="str">
        <f>IFERROR(SUM($I$8:I28)/SUM($D$8:D28),"")</f>
        <v/>
      </c>
      <c r="O28" s="29" t="str">
        <f t="shared" si="5"/>
        <v/>
      </c>
      <c r="P28" s="29" t="str">
        <f>IF(O28&lt;&gt;"",SUM($K$8:K28)/SUM($E$8:E28),"")</f>
        <v/>
      </c>
      <c r="Q28" s="250" t="str">
        <f t="shared" si="11"/>
        <v/>
      </c>
      <c r="R28" s="30" t="str">
        <f t="shared" si="6"/>
        <v/>
      </c>
      <c r="S28" s="250" t="str">
        <f t="shared" si="7"/>
        <v/>
      </c>
      <c r="T28" s="30" t="str">
        <f t="shared" si="8"/>
        <v/>
      </c>
      <c r="U28" s="254"/>
      <c r="V28" s="252">
        <f t="shared" si="12"/>
        <v>0</v>
      </c>
      <c r="W28" s="32"/>
      <c r="X28" s="252">
        <f t="shared" si="13"/>
        <v>0</v>
      </c>
      <c r="Y28" s="505"/>
      <c r="Z28" s="301"/>
      <c r="AA28" s="31">
        <f t="shared" si="14"/>
        <v>0</v>
      </c>
      <c r="AB28" s="32" t="str">
        <f t="shared" si="15"/>
        <v/>
      </c>
      <c r="AC28" s="41" t="e">
        <f>(I28-(SUM(K$8:K27)-SUM(J$8:J27))/(COUNTIF(C$8:C$61,"")-2))/D28</f>
        <v>#DIV/0!</v>
      </c>
      <c r="AD28" s="261">
        <f t="shared" si="9"/>
        <v>0</v>
      </c>
      <c r="AE28" s="32" t="str">
        <f t="shared" si="16"/>
        <v/>
      </c>
      <c r="AF28" s="319" t="str">
        <f t="shared" si="17"/>
        <v/>
      </c>
      <c r="AG28" s="588"/>
    </row>
    <row r="29" spans="1:34" ht="10.5" customHeight="1">
      <c r="A29" s="24"/>
      <c r="B29" s="24">
        <v>1</v>
      </c>
      <c r="C29" s="24">
        <f t="shared" si="10"/>
        <v>0</v>
      </c>
      <c r="D29" s="246"/>
      <c r="E29" s="25"/>
      <c r="F29" s="246"/>
      <c r="G29" s="248" t="str">
        <f t="shared" si="2"/>
        <v/>
      </c>
      <c r="H29" s="25"/>
      <c r="I29" s="246"/>
      <c r="J29" s="248" t="str">
        <f t="shared" si="18"/>
        <v/>
      </c>
      <c r="K29" s="244"/>
      <c r="L29" s="263" t="str">
        <f t="shared" si="19"/>
        <v/>
      </c>
      <c r="M29" s="33" t="e">
        <f t="shared" si="4"/>
        <v>#VALUE!</v>
      </c>
      <c r="N29" s="28" t="str">
        <f>IFERROR(SUM($I$8:I29)/SUM($D$8:D29),"")</f>
        <v/>
      </c>
      <c r="O29" s="29" t="str">
        <f t="shared" si="5"/>
        <v/>
      </c>
      <c r="P29" s="29" t="str">
        <f>IF(O29&lt;&gt;"",SUM($K$8:K29)/SUM($E$8:E29),"")</f>
        <v/>
      </c>
      <c r="Q29" s="250" t="str">
        <f t="shared" si="11"/>
        <v/>
      </c>
      <c r="R29" s="30" t="str">
        <f t="shared" si="6"/>
        <v/>
      </c>
      <c r="S29" s="250" t="str">
        <f t="shared" si="7"/>
        <v/>
      </c>
      <c r="T29" s="30" t="str">
        <f t="shared" si="8"/>
        <v/>
      </c>
      <c r="U29" s="254"/>
      <c r="V29" s="252">
        <f t="shared" si="12"/>
        <v>0</v>
      </c>
      <c r="W29" s="32"/>
      <c r="X29" s="252">
        <f t="shared" si="13"/>
        <v>0</v>
      </c>
      <c r="Y29" s="505"/>
      <c r="Z29" s="301"/>
      <c r="AA29" s="31">
        <f t="shared" si="14"/>
        <v>0</v>
      </c>
      <c r="AB29" s="32" t="str">
        <f t="shared" si="15"/>
        <v/>
      </c>
      <c r="AC29" s="41" t="e">
        <f>(I29-(SUM(K$8:K28)-SUM(J$8:J28))/(COUNTIF(C$8:C$61,"")-2))/D29</f>
        <v>#DIV/0!</v>
      </c>
      <c r="AD29" s="261">
        <f t="shared" si="9"/>
        <v>0</v>
      </c>
      <c r="AE29" s="32" t="str">
        <f t="shared" si="16"/>
        <v/>
      </c>
      <c r="AF29" s="319" t="str">
        <f t="shared" si="17"/>
        <v/>
      </c>
      <c r="AG29" s="588"/>
    </row>
    <row r="30" spans="1:34" ht="10.5" customHeight="1">
      <c r="A30" s="24"/>
      <c r="B30" s="24">
        <v>1</v>
      </c>
      <c r="C30" s="24">
        <f t="shared" si="10"/>
        <v>0</v>
      </c>
      <c r="D30" s="246"/>
      <c r="E30" s="25"/>
      <c r="F30" s="246"/>
      <c r="G30" s="248" t="str">
        <f t="shared" si="2"/>
        <v/>
      </c>
      <c r="H30" s="25"/>
      <c r="I30" s="246"/>
      <c r="J30" s="248" t="str">
        <f t="shared" si="18"/>
        <v/>
      </c>
      <c r="K30" s="244"/>
      <c r="L30" s="263" t="str">
        <f t="shared" si="19"/>
        <v/>
      </c>
      <c r="M30" s="26" t="e">
        <f t="shared" si="4"/>
        <v>#VALUE!</v>
      </c>
      <c r="N30" s="27" t="str">
        <f>IFERROR(SUM($I$8:I30)/SUM($D$8:D30),"")</f>
        <v/>
      </c>
      <c r="O30" s="29" t="str">
        <f t="shared" si="5"/>
        <v/>
      </c>
      <c r="P30" s="29" t="str">
        <f>IF(O30&lt;&gt;"",SUM($K$8:K30)/SUM($E$8:E30),"")</f>
        <v/>
      </c>
      <c r="Q30" s="250" t="str">
        <f t="shared" si="11"/>
        <v/>
      </c>
      <c r="R30" s="30" t="str">
        <f t="shared" si="6"/>
        <v/>
      </c>
      <c r="S30" s="250" t="str">
        <f t="shared" si="7"/>
        <v/>
      </c>
      <c r="T30" s="30" t="str">
        <f t="shared" si="8"/>
        <v/>
      </c>
      <c r="U30" s="254"/>
      <c r="V30" s="252">
        <f t="shared" si="12"/>
        <v>0</v>
      </c>
      <c r="W30" s="32"/>
      <c r="X30" s="252">
        <f t="shared" si="13"/>
        <v>0</v>
      </c>
      <c r="Y30" s="505"/>
      <c r="Z30" s="301"/>
      <c r="AA30" s="31">
        <f t="shared" si="14"/>
        <v>0</v>
      </c>
      <c r="AB30" s="32" t="str">
        <f t="shared" si="15"/>
        <v/>
      </c>
      <c r="AC30" s="41" t="e">
        <f>(I30-(SUM(K$8:K29)-SUM(J$8:J29))/(COUNTIF(C$8:C$61,"")-2))/D30</f>
        <v>#DIV/0!</v>
      </c>
      <c r="AD30" s="261">
        <f t="shared" si="9"/>
        <v>0</v>
      </c>
      <c r="AE30" s="32" t="str">
        <f t="shared" si="16"/>
        <v/>
      </c>
      <c r="AF30" s="319" t="str">
        <f t="shared" si="17"/>
        <v/>
      </c>
      <c r="AG30" s="588"/>
      <c r="AH30" s="625"/>
    </row>
    <row r="31" spans="1:34" ht="10.5" customHeight="1">
      <c r="A31" s="24"/>
      <c r="B31" s="24">
        <v>1</v>
      </c>
      <c r="C31" s="24">
        <f t="shared" si="10"/>
        <v>0</v>
      </c>
      <c r="D31" s="246"/>
      <c r="E31" s="25"/>
      <c r="F31" s="246"/>
      <c r="G31" s="248" t="str">
        <f t="shared" si="2"/>
        <v/>
      </c>
      <c r="H31" s="25"/>
      <c r="I31" s="246"/>
      <c r="J31" s="248" t="str">
        <f t="shared" si="18"/>
        <v/>
      </c>
      <c r="K31" s="244"/>
      <c r="L31" s="263" t="str">
        <f t="shared" si="19"/>
        <v/>
      </c>
      <c r="M31" s="26" t="e">
        <f t="shared" si="4"/>
        <v>#VALUE!</v>
      </c>
      <c r="N31" s="27" t="str">
        <f>IFERROR(SUM($I$8:I31)/SUM($D$8:D31),"")</f>
        <v/>
      </c>
      <c r="O31" s="29" t="str">
        <f t="shared" si="5"/>
        <v/>
      </c>
      <c r="P31" s="29" t="str">
        <f>IF(O31&lt;&gt;"",SUM($K$8:K31)/SUM($E$8:E31),"")</f>
        <v/>
      </c>
      <c r="Q31" s="250" t="str">
        <f t="shared" si="11"/>
        <v/>
      </c>
      <c r="R31" s="30" t="str">
        <f t="shared" si="6"/>
        <v/>
      </c>
      <c r="S31" s="250" t="str">
        <f t="shared" si="7"/>
        <v/>
      </c>
      <c r="T31" s="30" t="str">
        <f t="shared" si="8"/>
        <v/>
      </c>
      <c r="U31" s="254"/>
      <c r="V31" s="252">
        <f t="shared" si="12"/>
        <v>0</v>
      </c>
      <c r="W31" s="32"/>
      <c r="X31" s="252">
        <f t="shared" si="13"/>
        <v>0</v>
      </c>
      <c r="Y31" s="505"/>
      <c r="Z31" s="301"/>
      <c r="AA31" s="31">
        <f t="shared" si="14"/>
        <v>0</v>
      </c>
      <c r="AB31" s="32" t="str">
        <f t="shared" si="15"/>
        <v/>
      </c>
      <c r="AC31" s="41" t="e">
        <f>(I31-(SUM(K$8:K30)-SUM(J$8:J30))/(COUNTIF(C$8:C$61,"")-2))/D31</f>
        <v>#DIV/0!</v>
      </c>
      <c r="AD31" s="261">
        <f t="shared" si="9"/>
        <v>0</v>
      </c>
      <c r="AE31" s="32" t="str">
        <f t="shared" si="16"/>
        <v/>
      </c>
      <c r="AF31" s="319" t="str">
        <f t="shared" si="17"/>
        <v/>
      </c>
      <c r="AG31" s="588"/>
    </row>
    <row r="32" spans="1:34" ht="10.5" customHeight="1">
      <c r="A32" s="24"/>
      <c r="B32" s="24">
        <v>1</v>
      </c>
      <c r="C32" s="24">
        <f t="shared" si="10"/>
        <v>0</v>
      </c>
      <c r="D32" s="246"/>
      <c r="E32" s="25"/>
      <c r="F32" s="246"/>
      <c r="G32" s="248" t="str">
        <f t="shared" si="2"/>
        <v/>
      </c>
      <c r="H32" s="25"/>
      <c r="I32" s="246"/>
      <c r="J32" s="248" t="str">
        <f t="shared" si="18"/>
        <v/>
      </c>
      <c r="K32" s="244"/>
      <c r="L32" s="263" t="str">
        <f t="shared" si="19"/>
        <v/>
      </c>
      <c r="M32" s="26" t="e">
        <f t="shared" si="4"/>
        <v>#VALUE!</v>
      </c>
      <c r="N32" s="27" t="str">
        <f>IFERROR(SUM($I$8:I32)/SUM($D$8:D32),"")</f>
        <v/>
      </c>
      <c r="O32" s="29" t="str">
        <f t="shared" si="5"/>
        <v/>
      </c>
      <c r="P32" s="29" t="str">
        <f>IF(O32&lt;&gt;"",SUM($K$8:K32)/SUM($E$8:E32),"")</f>
        <v/>
      </c>
      <c r="Q32" s="250" t="str">
        <f t="shared" si="11"/>
        <v/>
      </c>
      <c r="R32" s="30" t="str">
        <f t="shared" si="6"/>
        <v/>
      </c>
      <c r="S32" s="250" t="str">
        <f t="shared" si="7"/>
        <v/>
      </c>
      <c r="T32" s="30" t="str">
        <f t="shared" si="8"/>
        <v/>
      </c>
      <c r="U32" s="254"/>
      <c r="V32" s="252">
        <f t="shared" si="12"/>
        <v>0</v>
      </c>
      <c r="W32" s="32"/>
      <c r="X32" s="252">
        <f t="shared" si="13"/>
        <v>0</v>
      </c>
      <c r="Y32" s="505"/>
      <c r="Z32" s="301"/>
      <c r="AA32" s="31">
        <f t="shared" si="14"/>
        <v>0</v>
      </c>
      <c r="AB32" s="32" t="str">
        <f t="shared" si="15"/>
        <v/>
      </c>
      <c r="AC32" s="41" t="e">
        <f>(I32-(SUM(K$8:K31)-SUM(J$8:J31))/(COUNTIF(C$8:C$61,"")-2))/D32</f>
        <v>#DIV/0!</v>
      </c>
      <c r="AD32" s="261">
        <f t="shared" si="9"/>
        <v>0</v>
      </c>
      <c r="AE32" s="32" t="str">
        <f t="shared" si="16"/>
        <v/>
      </c>
      <c r="AF32" s="319" t="str">
        <f t="shared" si="17"/>
        <v/>
      </c>
      <c r="AG32" s="588"/>
    </row>
    <row r="33" spans="1:34" ht="10.5" customHeight="1">
      <c r="A33" s="24"/>
      <c r="B33" s="24">
        <v>1</v>
      </c>
      <c r="C33" s="24">
        <f t="shared" si="10"/>
        <v>0</v>
      </c>
      <c r="D33" s="246"/>
      <c r="E33" s="25"/>
      <c r="F33" s="246"/>
      <c r="G33" s="248" t="str">
        <f t="shared" si="2"/>
        <v/>
      </c>
      <c r="H33" s="25"/>
      <c r="I33" s="246"/>
      <c r="J33" s="248" t="str">
        <f t="shared" si="18"/>
        <v/>
      </c>
      <c r="K33" s="244"/>
      <c r="L33" s="263" t="str">
        <f t="shared" si="19"/>
        <v/>
      </c>
      <c r="M33" s="26" t="e">
        <f t="shared" si="4"/>
        <v>#VALUE!</v>
      </c>
      <c r="N33" s="27" t="str">
        <f>IFERROR(SUM($I$8:I33)/SUM($D$8:D33),"")</f>
        <v/>
      </c>
      <c r="O33" s="29" t="str">
        <f t="shared" si="5"/>
        <v/>
      </c>
      <c r="P33" s="29" t="str">
        <f>IF(O33&lt;&gt;"",SUM($K$8:K33)/SUM($E$8:E33),"")</f>
        <v/>
      </c>
      <c r="Q33" s="250" t="str">
        <f t="shared" si="11"/>
        <v/>
      </c>
      <c r="R33" s="30" t="str">
        <f t="shared" si="6"/>
        <v/>
      </c>
      <c r="S33" s="250" t="str">
        <f t="shared" si="7"/>
        <v/>
      </c>
      <c r="T33" s="30" t="str">
        <f t="shared" si="8"/>
        <v/>
      </c>
      <c r="U33" s="254"/>
      <c r="V33" s="252">
        <f t="shared" si="12"/>
        <v>0</v>
      </c>
      <c r="W33" s="32"/>
      <c r="X33" s="252">
        <f t="shared" si="13"/>
        <v>0</v>
      </c>
      <c r="Y33" s="505"/>
      <c r="Z33" s="301"/>
      <c r="AA33" s="31">
        <f t="shared" si="14"/>
        <v>0</v>
      </c>
      <c r="AB33" s="32" t="str">
        <f t="shared" si="15"/>
        <v/>
      </c>
      <c r="AC33" s="41" t="e">
        <f>(I33-(SUM(K$8:K32)-SUM(J$8:J32))/(COUNTIF(C$8:C$61,"")-2))/D33</f>
        <v>#DIV/0!</v>
      </c>
      <c r="AD33" s="261">
        <f t="shared" si="9"/>
        <v>0</v>
      </c>
      <c r="AE33" s="32" t="str">
        <f t="shared" si="16"/>
        <v/>
      </c>
      <c r="AF33" s="319" t="str">
        <f t="shared" si="17"/>
        <v/>
      </c>
      <c r="AG33" s="588"/>
      <c r="AH33" s="625"/>
    </row>
    <row r="34" spans="1:34" ht="10.5" customHeight="1">
      <c r="A34" s="24"/>
      <c r="B34" s="24">
        <v>1</v>
      </c>
      <c r="C34" s="24">
        <f t="shared" si="10"/>
        <v>0</v>
      </c>
      <c r="D34" s="246"/>
      <c r="E34" s="25"/>
      <c r="F34" s="246"/>
      <c r="G34" s="248" t="str">
        <f t="shared" si="2"/>
        <v/>
      </c>
      <c r="H34" s="25"/>
      <c r="I34" s="246"/>
      <c r="J34" s="248" t="str">
        <f t="shared" si="18"/>
        <v/>
      </c>
      <c r="K34" s="244"/>
      <c r="L34" s="263" t="str">
        <f t="shared" si="19"/>
        <v/>
      </c>
      <c r="M34" s="26" t="e">
        <f t="shared" si="4"/>
        <v>#VALUE!</v>
      </c>
      <c r="N34" s="27" t="str">
        <f>IFERROR(SUM($I$8:I34)/SUM($D$8:D34),"")</f>
        <v/>
      </c>
      <c r="O34" s="29" t="str">
        <f t="shared" si="5"/>
        <v/>
      </c>
      <c r="P34" s="29" t="str">
        <f>IF(O34&lt;&gt;"",SUM($K$8:K34)/SUM($E$8:E34),"")</f>
        <v/>
      </c>
      <c r="Q34" s="250" t="str">
        <f t="shared" si="11"/>
        <v/>
      </c>
      <c r="R34" s="30" t="str">
        <f t="shared" si="6"/>
        <v/>
      </c>
      <c r="S34" s="250" t="str">
        <f t="shared" si="7"/>
        <v/>
      </c>
      <c r="T34" s="30" t="str">
        <f t="shared" si="8"/>
        <v/>
      </c>
      <c r="U34" s="254"/>
      <c r="V34" s="252">
        <f t="shared" si="12"/>
        <v>0</v>
      </c>
      <c r="W34" s="32"/>
      <c r="X34" s="252">
        <f t="shared" si="13"/>
        <v>0</v>
      </c>
      <c r="Y34" s="505"/>
      <c r="Z34" s="301"/>
      <c r="AA34" s="31">
        <f t="shared" si="14"/>
        <v>0</v>
      </c>
      <c r="AB34" s="32" t="str">
        <f t="shared" si="15"/>
        <v/>
      </c>
      <c r="AC34" s="41" t="e">
        <f>(I34-(SUM(K$8:K33)-SUM(J$8:J33))/(COUNTIF(C$8:C$61,"")-2))/D34</f>
        <v>#DIV/0!</v>
      </c>
      <c r="AD34" s="261">
        <f t="shared" si="9"/>
        <v>0</v>
      </c>
      <c r="AE34" s="32" t="str">
        <f t="shared" si="16"/>
        <v/>
      </c>
      <c r="AF34" s="319" t="str">
        <f t="shared" si="17"/>
        <v/>
      </c>
      <c r="AG34" s="588"/>
    </row>
    <row r="35" spans="1:34" ht="10.5" customHeight="1">
      <c r="A35" s="24"/>
      <c r="B35" s="24">
        <v>1</v>
      </c>
      <c r="C35" s="24">
        <f t="shared" si="10"/>
        <v>0</v>
      </c>
      <c r="D35" s="246"/>
      <c r="E35" s="25"/>
      <c r="F35" s="246"/>
      <c r="G35" s="248" t="str">
        <f t="shared" si="2"/>
        <v/>
      </c>
      <c r="H35" s="25"/>
      <c r="I35" s="246"/>
      <c r="J35" s="248" t="str">
        <f t="shared" si="18"/>
        <v/>
      </c>
      <c r="K35" s="244"/>
      <c r="L35" s="263" t="str">
        <f t="shared" si="19"/>
        <v/>
      </c>
      <c r="M35" s="26" t="e">
        <f t="shared" si="4"/>
        <v>#VALUE!</v>
      </c>
      <c r="N35" s="27" t="str">
        <f>IFERROR(SUM($I$8:I35)/SUM($D$8:D35),"")</f>
        <v/>
      </c>
      <c r="O35" s="29" t="str">
        <f t="shared" si="5"/>
        <v/>
      </c>
      <c r="P35" s="29" t="str">
        <f>IF(O35&lt;&gt;"",SUM($K$8:K35)/SUM($E$8:E35),"")</f>
        <v/>
      </c>
      <c r="Q35" s="250" t="str">
        <f t="shared" si="11"/>
        <v/>
      </c>
      <c r="R35" s="30" t="str">
        <f t="shared" si="6"/>
        <v/>
      </c>
      <c r="S35" s="250" t="str">
        <f t="shared" si="7"/>
        <v/>
      </c>
      <c r="T35" s="30" t="str">
        <f t="shared" si="8"/>
        <v/>
      </c>
      <c r="U35" s="254"/>
      <c r="V35" s="252">
        <f t="shared" si="12"/>
        <v>0</v>
      </c>
      <c r="W35" s="32"/>
      <c r="X35" s="252">
        <f t="shared" si="13"/>
        <v>0</v>
      </c>
      <c r="Y35" s="505"/>
      <c r="Z35" s="301"/>
      <c r="AA35" s="31">
        <f t="shared" si="14"/>
        <v>0</v>
      </c>
      <c r="AB35" s="32" t="str">
        <f t="shared" si="15"/>
        <v/>
      </c>
      <c r="AC35" s="41" t="e">
        <f>(I35-(SUM(K$8:K34)-SUM(J$8:J34))/(COUNTIF(C$8:C$61,"")-2))/D35</f>
        <v>#DIV/0!</v>
      </c>
      <c r="AD35" s="261">
        <f t="shared" si="9"/>
        <v>0</v>
      </c>
      <c r="AE35" s="32" t="str">
        <f t="shared" si="16"/>
        <v/>
      </c>
      <c r="AF35" s="319" t="str">
        <f t="shared" si="17"/>
        <v/>
      </c>
      <c r="AG35" s="588"/>
    </row>
    <row r="36" spans="1:34" ht="10.5" customHeight="1">
      <c r="A36" s="24"/>
      <c r="B36" s="24">
        <v>1</v>
      </c>
      <c r="C36" s="24">
        <f t="shared" si="10"/>
        <v>0</v>
      </c>
      <c r="D36" s="246"/>
      <c r="E36" s="25"/>
      <c r="F36" s="246"/>
      <c r="G36" s="248" t="str">
        <f t="shared" si="2"/>
        <v/>
      </c>
      <c r="H36" s="25"/>
      <c r="I36" s="246"/>
      <c r="J36" s="248" t="str">
        <f t="shared" si="18"/>
        <v/>
      </c>
      <c r="K36" s="244"/>
      <c r="L36" s="263" t="str">
        <f t="shared" si="19"/>
        <v/>
      </c>
      <c r="M36" s="26" t="e">
        <f t="shared" si="4"/>
        <v>#VALUE!</v>
      </c>
      <c r="N36" s="27" t="str">
        <f>IFERROR(SUM($I$8:I36)/SUM($D$8:D36),"")</f>
        <v/>
      </c>
      <c r="O36" s="29" t="str">
        <f t="shared" si="5"/>
        <v/>
      </c>
      <c r="P36" s="29" t="str">
        <f>IF(O36&lt;&gt;"",SUM($K$8:K36)/SUM($E$8:E36),"")</f>
        <v/>
      </c>
      <c r="Q36" s="250" t="str">
        <f t="shared" si="11"/>
        <v/>
      </c>
      <c r="R36" s="30" t="str">
        <f t="shared" si="6"/>
        <v/>
      </c>
      <c r="S36" s="250" t="str">
        <f t="shared" si="7"/>
        <v/>
      </c>
      <c r="T36" s="30" t="str">
        <f t="shared" si="8"/>
        <v/>
      </c>
      <c r="U36" s="254"/>
      <c r="V36" s="252">
        <f t="shared" si="12"/>
        <v>0</v>
      </c>
      <c r="W36" s="32"/>
      <c r="X36" s="252">
        <f t="shared" si="13"/>
        <v>0</v>
      </c>
      <c r="Y36" s="505"/>
      <c r="Z36" s="301"/>
      <c r="AA36" s="31">
        <f t="shared" si="14"/>
        <v>0</v>
      </c>
      <c r="AB36" s="32" t="str">
        <f t="shared" si="15"/>
        <v/>
      </c>
      <c r="AC36" s="41" t="e">
        <f>(I36-(SUM(K$8:K35)-SUM(J$8:J35))/(COUNTIF(C$8:C$61,"")-2))/D36</f>
        <v>#DIV/0!</v>
      </c>
      <c r="AD36" s="261">
        <f t="shared" si="9"/>
        <v>0</v>
      </c>
      <c r="AE36" s="32" t="str">
        <f t="shared" si="16"/>
        <v/>
      </c>
      <c r="AF36" s="319" t="str">
        <f t="shared" si="17"/>
        <v/>
      </c>
      <c r="AG36" s="588"/>
      <c r="AH36" s="625"/>
    </row>
    <row r="37" spans="1:34" ht="10.5" customHeight="1">
      <c r="A37" s="24"/>
      <c r="B37" s="24">
        <v>1</v>
      </c>
      <c r="C37" s="24">
        <f t="shared" si="10"/>
        <v>0</v>
      </c>
      <c r="D37" s="246"/>
      <c r="E37" s="25"/>
      <c r="F37" s="246"/>
      <c r="G37" s="248" t="str">
        <f t="shared" si="2"/>
        <v/>
      </c>
      <c r="H37" s="25"/>
      <c r="I37" s="246"/>
      <c r="J37" s="248" t="str">
        <f t="shared" si="18"/>
        <v/>
      </c>
      <c r="K37" s="244"/>
      <c r="L37" s="263" t="str">
        <f t="shared" si="19"/>
        <v/>
      </c>
      <c r="M37" s="26" t="e">
        <f t="shared" si="4"/>
        <v>#VALUE!</v>
      </c>
      <c r="N37" s="27" t="str">
        <f>IFERROR(SUM($I$8:I37)/SUM($D$8:D37),"")</f>
        <v/>
      </c>
      <c r="O37" s="29" t="str">
        <f t="shared" si="5"/>
        <v/>
      </c>
      <c r="P37" s="29" t="str">
        <f>IF(O37&lt;&gt;"",SUM($K$8:K37)/SUM($E$8:E37),"")</f>
        <v/>
      </c>
      <c r="Q37" s="250" t="str">
        <f t="shared" si="11"/>
        <v/>
      </c>
      <c r="R37" s="30" t="str">
        <f t="shared" si="6"/>
        <v/>
      </c>
      <c r="S37" s="250" t="str">
        <f t="shared" si="7"/>
        <v/>
      </c>
      <c r="T37" s="30" t="str">
        <f t="shared" si="8"/>
        <v/>
      </c>
      <c r="U37" s="254"/>
      <c r="V37" s="252">
        <f t="shared" si="12"/>
        <v>0</v>
      </c>
      <c r="W37" s="32"/>
      <c r="X37" s="252">
        <f t="shared" si="13"/>
        <v>0</v>
      </c>
      <c r="Y37" s="505"/>
      <c r="Z37" s="301"/>
      <c r="AA37" s="31">
        <f t="shared" si="14"/>
        <v>0</v>
      </c>
      <c r="AB37" s="32" t="str">
        <f t="shared" si="15"/>
        <v/>
      </c>
      <c r="AC37" s="41" t="e">
        <f>(I37-(SUM(K$8:K36)-SUM(J$8:J36))/(COUNTIF(C$8:C$61,"")-2))/D37</f>
        <v>#DIV/0!</v>
      </c>
      <c r="AD37" s="261">
        <f t="shared" si="9"/>
        <v>0</v>
      </c>
      <c r="AE37" s="32" t="str">
        <f t="shared" si="16"/>
        <v/>
      </c>
      <c r="AF37" s="319" t="str">
        <f t="shared" si="17"/>
        <v/>
      </c>
      <c r="AG37" s="588"/>
      <c r="AH37" s="625"/>
    </row>
    <row r="38" spans="1:34" ht="10.5" customHeight="1">
      <c r="A38" s="24"/>
      <c r="B38" s="24">
        <v>1</v>
      </c>
      <c r="C38" s="24">
        <f t="shared" si="10"/>
        <v>0</v>
      </c>
      <c r="D38" s="246"/>
      <c r="E38" s="25"/>
      <c r="F38" s="246"/>
      <c r="G38" s="248" t="str">
        <f t="shared" si="2"/>
        <v/>
      </c>
      <c r="H38" s="25"/>
      <c r="I38" s="246"/>
      <c r="J38" s="248" t="str">
        <f t="shared" si="18"/>
        <v/>
      </c>
      <c r="K38" s="244"/>
      <c r="L38" s="263" t="str">
        <f t="shared" si="19"/>
        <v/>
      </c>
      <c r="M38" s="26" t="e">
        <f t="shared" si="4"/>
        <v>#VALUE!</v>
      </c>
      <c r="N38" s="27" t="str">
        <f>IFERROR(SUM($I$8:I38)/SUM($D$8:D38),"")</f>
        <v/>
      </c>
      <c r="O38" s="29" t="str">
        <f t="shared" si="5"/>
        <v/>
      </c>
      <c r="P38" s="29" t="str">
        <f>IF(O38&lt;&gt;"",SUM($K$8:K38)/SUM($E$8:E38),"")</f>
        <v/>
      </c>
      <c r="Q38" s="250" t="str">
        <f t="shared" si="11"/>
        <v/>
      </c>
      <c r="R38" s="30" t="str">
        <f t="shared" si="6"/>
        <v/>
      </c>
      <c r="S38" s="250" t="str">
        <f t="shared" si="7"/>
        <v/>
      </c>
      <c r="T38" s="30" t="str">
        <f t="shared" si="8"/>
        <v/>
      </c>
      <c r="U38" s="254"/>
      <c r="V38" s="252">
        <f t="shared" si="12"/>
        <v>0</v>
      </c>
      <c r="W38" s="32"/>
      <c r="X38" s="252">
        <f t="shared" si="13"/>
        <v>0</v>
      </c>
      <c r="Y38" s="505"/>
      <c r="Z38" s="301"/>
      <c r="AA38" s="31">
        <f t="shared" si="14"/>
        <v>0</v>
      </c>
      <c r="AB38" s="32" t="str">
        <f t="shared" si="15"/>
        <v/>
      </c>
      <c r="AC38" s="41" t="e">
        <f>(I38-(SUM(K$8:K37)-SUM(J$8:J37))/(COUNTIF(C$8:C$61,"")-2))/D38</f>
        <v>#DIV/0!</v>
      </c>
      <c r="AD38" s="261">
        <f t="shared" si="9"/>
        <v>0</v>
      </c>
      <c r="AE38" s="32" t="str">
        <f t="shared" si="16"/>
        <v/>
      </c>
      <c r="AF38" s="319" t="str">
        <f t="shared" si="17"/>
        <v/>
      </c>
      <c r="AG38" s="588"/>
    </row>
    <row r="39" spans="1:34" ht="10.5" customHeight="1">
      <c r="A39" s="24"/>
      <c r="B39" s="24">
        <v>1</v>
      </c>
      <c r="C39" s="24">
        <f t="shared" si="10"/>
        <v>0</v>
      </c>
      <c r="D39" s="246"/>
      <c r="E39" s="25"/>
      <c r="F39" s="246"/>
      <c r="G39" s="248" t="str">
        <f t="shared" si="2"/>
        <v/>
      </c>
      <c r="H39" s="25"/>
      <c r="I39" s="246"/>
      <c r="J39" s="248" t="str">
        <f t="shared" si="18"/>
        <v/>
      </c>
      <c r="K39" s="244"/>
      <c r="L39" s="263" t="str">
        <f t="shared" si="19"/>
        <v/>
      </c>
      <c r="M39" s="26" t="e">
        <f t="shared" si="4"/>
        <v>#VALUE!</v>
      </c>
      <c r="N39" s="27" t="str">
        <f>IFERROR(SUM($I$8:I39)/SUM($D$8:D39),"")</f>
        <v/>
      </c>
      <c r="O39" s="29" t="str">
        <f t="shared" si="5"/>
        <v/>
      </c>
      <c r="P39" s="29" t="str">
        <f>IF(O39&lt;&gt;"",SUM($K$8:K39)/SUM($E$8:E39),"")</f>
        <v/>
      </c>
      <c r="Q39" s="250" t="str">
        <f t="shared" si="11"/>
        <v/>
      </c>
      <c r="R39" s="30" t="str">
        <f t="shared" si="6"/>
        <v/>
      </c>
      <c r="S39" s="250" t="str">
        <f t="shared" si="7"/>
        <v/>
      </c>
      <c r="T39" s="30" t="str">
        <f t="shared" si="8"/>
        <v/>
      </c>
      <c r="U39" s="254"/>
      <c r="V39" s="252">
        <f t="shared" si="12"/>
        <v>0</v>
      </c>
      <c r="W39" s="32"/>
      <c r="X39" s="252">
        <f t="shared" si="13"/>
        <v>0</v>
      </c>
      <c r="Y39" s="505"/>
      <c r="Z39" s="301"/>
      <c r="AA39" s="31">
        <f t="shared" si="14"/>
        <v>0</v>
      </c>
      <c r="AB39" s="32" t="str">
        <f t="shared" si="15"/>
        <v/>
      </c>
      <c r="AC39" s="41" t="e">
        <f>(I39-(SUM(K$8:K38)-SUM(J$8:J38))/(COUNTIF(C$8:C$61,"")-2))/D39</f>
        <v>#DIV/0!</v>
      </c>
      <c r="AD39" s="261">
        <f t="shared" si="9"/>
        <v>0</v>
      </c>
      <c r="AE39" s="32" t="str">
        <f t="shared" si="16"/>
        <v/>
      </c>
      <c r="AF39" s="319" t="str">
        <f t="shared" si="17"/>
        <v/>
      </c>
      <c r="AG39" s="588"/>
    </row>
    <row r="40" spans="1:34" ht="10.5" customHeight="1">
      <c r="A40" s="24"/>
      <c r="B40" s="24">
        <v>1</v>
      </c>
      <c r="C40" s="24">
        <f t="shared" si="10"/>
        <v>0</v>
      </c>
      <c r="D40" s="246"/>
      <c r="E40" s="25"/>
      <c r="F40" s="246"/>
      <c r="G40" s="248" t="str">
        <f t="shared" si="2"/>
        <v/>
      </c>
      <c r="H40" s="25"/>
      <c r="I40" s="246"/>
      <c r="J40" s="248" t="str">
        <f t="shared" si="18"/>
        <v/>
      </c>
      <c r="K40" s="244"/>
      <c r="L40" s="263" t="str">
        <f t="shared" si="19"/>
        <v/>
      </c>
      <c r="M40" s="26" t="e">
        <f t="shared" si="4"/>
        <v>#VALUE!</v>
      </c>
      <c r="N40" s="27" t="str">
        <f>IFERROR(SUM($I$8:I40)/SUM($D$8:D40),"")</f>
        <v/>
      </c>
      <c r="O40" s="29" t="str">
        <f t="shared" si="5"/>
        <v/>
      </c>
      <c r="P40" s="29" t="str">
        <f>IF(O40&lt;&gt;"",SUM($K$8:K40)/SUM($E$8:E40),"")</f>
        <v/>
      </c>
      <c r="Q40" s="250" t="str">
        <f t="shared" si="11"/>
        <v/>
      </c>
      <c r="R40" s="30" t="str">
        <f t="shared" si="6"/>
        <v/>
      </c>
      <c r="S40" s="250" t="str">
        <f t="shared" si="7"/>
        <v/>
      </c>
      <c r="T40" s="30" t="str">
        <f t="shared" si="8"/>
        <v/>
      </c>
      <c r="U40" s="254"/>
      <c r="V40" s="252">
        <f t="shared" si="12"/>
        <v>0</v>
      </c>
      <c r="W40" s="32"/>
      <c r="X40" s="252">
        <f t="shared" si="13"/>
        <v>0</v>
      </c>
      <c r="Y40" s="505"/>
      <c r="Z40" s="301"/>
      <c r="AA40" s="31">
        <f t="shared" si="14"/>
        <v>0</v>
      </c>
      <c r="AB40" s="32" t="str">
        <f t="shared" si="15"/>
        <v/>
      </c>
      <c r="AC40" s="41" t="e">
        <f>(I40-(SUM(K$8:K39)-SUM(J$8:J39))/(COUNTIF(C$8:C$61,"")-2))/D40</f>
        <v>#DIV/0!</v>
      </c>
      <c r="AD40" s="261">
        <f t="shared" si="9"/>
        <v>0</v>
      </c>
      <c r="AE40" s="32" t="str">
        <f t="shared" si="16"/>
        <v/>
      </c>
      <c r="AF40" s="319" t="str">
        <f t="shared" si="17"/>
        <v/>
      </c>
      <c r="AG40" s="588"/>
      <c r="AH40" s="625"/>
    </row>
    <row r="41" spans="1:34" ht="10.5" customHeight="1">
      <c r="A41" s="24"/>
      <c r="B41" s="24">
        <v>1</v>
      </c>
      <c r="C41" s="24">
        <f t="shared" si="10"/>
        <v>0</v>
      </c>
      <c r="D41" s="246"/>
      <c r="E41" s="25"/>
      <c r="F41" s="246"/>
      <c r="G41" s="248" t="str">
        <f t="shared" si="2"/>
        <v/>
      </c>
      <c r="H41" s="25"/>
      <c r="I41" s="246"/>
      <c r="J41" s="248" t="str">
        <f t="shared" si="18"/>
        <v/>
      </c>
      <c r="K41" s="244"/>
      <c r="L41" s="263" t="str">
        <f t="shared" si="19"/>
        <v/>
      </c>
      <c r="M41" s="26" t="e">
        <f t="shared" si="4"/>
        <v>#VALUE!</v>
      </c>
      <c r="N41" s="27" t="str">
        <f>IFERROR(SUM($I$8:I41)/SUM($D$8:D41),"")</f>
        <v/>
      </c>
      <c r="O41" s="29" t="str">
        <f t="shared" si="5"/>
        <v/>
      </c>
      <c r="P41" s="29" t="str">
        <f>IF(O41&lt;&gt;"",SUM($K$8:K41)/SUM($E$8:E41),"")</f>
        <v/>
      </c>
      <c r="Q41" s="250" t="str">
        <f t="shared" si="11"/>
        <v/>
      </c>
      <c r="R41" s="30" t="str">
        <f t="shared" si="6"/>
        <v/>
      </c>
      <c r="S41" s="250" t="str">
        <f t="shared" si="7"/>
        <v/>
      </c>
      <c r="T41" s="30" t="str">
        <f>IF(ISERROR(K41/H41),"",K41/H41)</f>
        <v/>
      </c>
      <c r="U41" s="254"/>
      <c r="V41" s="252">
        <f t="shared" si="12"/>
        <v>0</v>
      </c>
      <c r="W41" s="32"/>
      <c r="X41" s="252">
        <f t="shared" si="13"/>
        <v>0</v>
      </c>
      <c r="Y41" s="505"/>
      <c r="Z41" s="301"/>
      <c r="AA41" s="31">
        <f t="shared" si="14"/>
        <v>0</v>
      </c>
      <c r="AB41" s="32" t="str">
        <f t="shared" si="15"/>
        <v/>
      </c>
      <c r="AC41" s="41" t="e">
        <f>(I41-(SUM(K$8:K40)-SUM(J$8:J40))/(COUNTIF(C$8:C$61,"")-2))/D41</f>
        <v>#DIV/0!</v>
      </c>
      <c r="AD41" s="261">
        <f t="shared" si="9"/>
        <v>0</v>
      </c>
      <c r="AE41" s="32" t="str">
        <f t="shared" si="16"/>
        <v/>
      </c>
      <c r="AF41" s="319" t="str">
        <f t="shared" si="17"/>
        <v/>
      </c>
    </row>
    <row r="42" spans="1:34" ht="10.5" customHeight="1">
      <c r="A42" s="24"/>
      <c r="B42" s="24">
        <v>1</v>
      </c>
      <c r="C42" s="24">
        <f t="shared" si="10"/>
        <v>0</v>
      </c>
      <c r="D42" s="246"/>
      <c r="E42" s="25"/>
      <c r="F42" s="246"/>
      <c r="G42" s="248" t="str">
        <f t="shared" si="2"/>
        <v/>
      </c>
      <c r="H42" s="25"/>
      <c r="I42" s="246"/>
      <c r="J42" s="248" t="str">
        <f t="shared" si="18"/>
        <v/>
      </c>
      <c r="K42" s="244"/>
      <c r="L42" s="263" t="str">
        <f t="shared" si="19"/>
        <v/>
      </c>
      <c r="M42" s="26" t="e">
        <f t="shared" si="4"/>
        <v>#VALUE!</v>
      </c>
      <c r="N42" s="27" t="str">
        <f>IFERROR(SUM($I$8:I42)/SUM($D$8:D42),"")</f>
        <v/>
      </c>
      <c r="O42" s="29" t="str">
        <f t="shared" si="5"/>
        <v/>
      </c>
      <c r="P42" s="29" t="str">
        <f>IF(O42&lt;&gt;"",SUM($K$8:K42)/SUM($E$8:E42),"")</f>
        <v/>
      </c>
      <c r="Q42" s="250" t="str">
        <f t="shared" si="11"/>
        <v/>
      </c>
      <c r="R42" s="30" t="str">
        <f t="shared" si="6"/>
        <v/>
      </c>
      <c r="S42" s="250" t="str">
        <f t="shared" si="7"/>
        <v/>
      </c>
      <c r="T42" s="30" t="str">
        <f t="shared" si="8"/>
        <v/>
      </c>
      <c r="U42" s="254"/>
      <c r="V42" s="252">
        <f t="shared" si="12"/>
        <v>0</v>
      </c>
      <c r="W42" s="32"/>
      <c r="X42" s="252">
        <f t="shared" si="13"/>
        <v>0</v>
      </c>
      <c r="Y42" s="505"/>
      <c r="Z42" s="301"/>
      <c r="AA42" s="31">
        <f t="shared" si="14"/>
        <v>0</v>
      </c>
      <c r="AB42" s="32" t="str">
        <f t="shared" si="15"/>
        <v/>
      </c>
      <c r="AC42" s="41" t="e">
        <f>(I42-(SUM(K$8:K41)-SUM(J$8:J41))/(COUNTIF(C$8:C$61,"")-2))/D42</f>
        <v>#DIV/0!</v>
      </c>
      <c r="AD42" s="261">
        <f>IF(D42=0,0,IF(W42=0,(D42*U42)-(((W$6*E$6)-(U$7*E$6))/(COUNTIF(C$8:C$61,0)-2)),X42))</f>
        <v>0</v>
      </c>
      <c r="AE42" s="32" t="str">
        <f>IFERROR(IF(E42="",AD42/D42,AD42/E42),"")</f>
        <v/>
      </c>
      <c r="AF42" s="319" t="str">
        <f t="shared" si="17"/>
        <v/>
      </c>
    </row>
    <row r="43" spans="1:34" ht="10.5" customHeight="1">
      <c r="A43" s="24"/>
      <c r="B43" s="24">
        <v>1</v>
      </c>
      <c r="C43" s="24">
        <f t="shared" si="10"/>
        <v>0</v>
      </c>
      <c r="D43" s="246"/>
      <c r="E43" s="25"/>
      <c r="F43" s="246"/>
      <c r="G43" s="248" t="str">
        <f t="shared" si="2"/>
        <v/>
      </c>
      <c r="H43" s="25"/>
      <c r="I43" s="246"/>
      <c r="J43" s="248" t="str">
        <f t="shared" si="18"/>
        <v/>
      </c>
      <c r="K43" s="244"/>
      <c r="L43" s="263" t="str">
        <f t="shared" si="19"/>
        <v/>
      </c>
      <c r="M43" s="26" t="e">
        <f t="shared" si="4"/>
        <v>#VALUE!</v>
      </c>
      <c r="N43" s="27" t="str">
        <f>IFERROR(SUM($I$8:I43)/SUM($D$8:D43),"")</f>
        <v/>
      </c>
      <c r="O43" s="29" t="str">
        <f t="shared" si="5"/>
        <v/>
      </c>
      <c r="P43" s="29" t="str">
        <f>IF(O43&lt;&gt;"",SUM($K$8:K43)/SUM($E$8:E43),"")</f>
        <v/>
      </c>
      <c r="Q43" s="250" t="str">
        <f t="shared" si="11"/>
        <v/>
      </c>
      <c r="R43" s="30" t="str">
        <f t="shared" si="6"/>
        <v/>
      </c>
      <c r="S43" s="250" t="str">
        <f t="shared" si="7"/>
        <v/>
      </c>
      <c r="T43" s="30" t="str">
        <f t="shared" si="8"/>
        <v/>
      </c>
      <c r="U43" s="254"/>
      <c r="V43" s="252">
        <f t="shared" si="12"/>
        <v>0</v>
      </c>
      <c r="W43" s="32"/>
      <c r="X43" s="252">
        <f t="shared" si="13"/>
        <v>0</v>
      </c>
      <c r="Y43" s="505"/>
      <c r="Z43" s="301"/>
      <c r="AA43" s="31">
        <f t="shared" si="14"/>
        <v>0</v>
      </c>
      <c r="AB43" s="32" t="str">
        <f t="shared" si="15"/>
        <v/>
      </c>
      <c r="AC43" s="41" t="e">
        <f>(I43-(SUM(K$8:K42)-SUM(J$8:J42))/(COUNTIF(C$8:C$61,"")-2))/D43</f>
        <v>#DIV/0!</v>
      </c>
      <c r="AD43" s="261">
        <f t="shared" ref="AD43:AD61" si="20">IF(D43=0,0,IF(W43=0,(D43*U43)-(((W$6*E$6)-(U$7*E$6))/(COUNTIF(C$8:C$61,0)-2)),X43))</f>
        <v>0</v>
      </c>
      <c r="AE43" s="32" t="str">
        <f t="shared" si="16"/>
        <v/>
      </c>
      <c r="AF43" s="319" t="str">
        <f t="shared" si="17"/>
        <v/>
      </c>
    </row>
    <row r="44" spans="1:34" ht="10.5" customHeight="1">
      <c r="A44" s="24"/>
      <c r="B44" s="24">
        <v>1</v>
      </c>
      <c r="C44" s="24">
        <f t="shared" si="10"/>
        <v>0</v>
      </c>
      <c r="D44" s="246"/>
      <c r="E44" s="25"/>
      <c r="F44" s="246"/>
      <c r="G44" s="248" t="str">
        <f t="shared" si="2"/>
        <v/>
      </c>
      <c r="H44" s="25"/>
      <c r="I44" s="246"/>
      <c r="J44" s="248" t="str">
        <f t="shared" si="18"/>
        <v/>
      </c>
      <c r="K44" s="244"/>
      <c r="L44" s="263" t="str">
        <f t="shared" si="19"/>
        <v/>
      </c>
      <c r="M44" s="26" t="e">
        <f t="shared" si="4"/>
        <v>#VALUE!</v>
      </c>
      <c r="N44" s="27" t="str">
        <f>IFERROR(SUM($I$8:I44)/SUM($D$8:D44),"")</f>
        <v/>
      </c>
      <c r="O44" s="29" t="str">
        <f t="shared" si="5"/>
        <v/>
      </c>
      <c r="P44" s="29" t="str">
        <f>IF(O44&lt;&gt;"",SUM($K$8:K44)/SUM($E$8:E44),"")</f>
        <v/>
      </c>
      <c r="Q44" s="250" t="str">
        <f t="shared" si="11"/>
        <v/>
      </c>
      <c r="R44" s="30" t="str">
        <f t="shared" si="6"/>
        <v/>
      </c>
      <c r="S44" s="250" t="str">
        <f t="shared" si="7"/>
        <v/>
      </c>
      <c r="T44" s="30" t="str">
        <f t="shared" si="8"/>
        <v/>
      </c>
      <c r="U44" s="254"/>
      <c r="V44" s="252">
        <f t="shared" si="12"/>
        <v>0</v>
      </c>
      <c r="W44" s="32"/>
      <c r="X44" s="252">
        <f t="shared" si="13"/>
        <v>0</v>
      </c>
      <c r="Y44" s="505"/>
      <c r="Z44" s="301"/>
      <c r="AA44" s="31">
        <f t="shared" si="14"/>
        <v>0</v>
      </c>
      <c r="AB44" s="32" t="str">
        <f t="shared" si="15"/>
        <v/>
      </c>
      <c r="AC44" s="41" t="e">
        <f>(I44-(SUM(K$8:K43)-SUM(J$8:J43))/(COUNTIF(C$8:C$61,"")-2))/D44</f>
        <v>#DIV/0!</v>
      </c>
      <c r="AD44" s="261">
        <f t="shared" si="20"/>
        <v>0</v>
      </c>
      <c r="AE44" s="32" t="str">
        <f t="shared" si="16"/>
        <v/>
      </c>
      <c r="AF44" s="319" t="str">
        <f t="shared" si="17"/>
        <v/>
      </c>
    </row>
    <row r="45" spans="1:34" ht="10.5" customHeight="1">
      <c r="A45" s="24"/>
      <c r="B45" s="24">
        <v>1</v>
      </c>
      <c r="C45" s="24">
        <f t="shared" si="10"/>
        <v>0</v>
      </c>
      <c r="D45" s="246"/>
      <c r="E45" s="25"/>
      <c r="F45" s="246"/>
      <c r="G45" s="248" t="str">
        <f t="shared" si="2"/>
        <v/>
      </c>
      <c r="H45" s="25"/>
      <c r="I45" s="246"/>
      <c r="J45" s="248" t="str">
        <f t="shared" si="18"/>
        <v/>
      </c>
      <c r="K45" s="244"/>
      <c r="L45" s="263" t="str">
        <f t="shared" si="19"/>
        <v/>
      </c>
      <c r="M45" s="26" t="e">
        <f t="shared" si="4"/>
        <v>#VALUE!</v>
      </c>
      <c r="N45" s="27" t="str">
        <f>IFERROR(SUM($I$8:I45)/SUM($D$8:D45),"")</f>
        <v/>
      </c>
      <c r="O45" s="29" t="str">
        <f t="shared" si="5"/>
        <v/>
      </c>
      <c r="P45" s="29" t="str">
        <f>IF(O45&lt;&gt;"",SUM($K$8:K45)/SUM($E$8:E45),"")</f>
        <v/>
      </c>
      <c r="Q45" s="250" t="str">
        <f t="shared" si="11"/>
        <v/>
      </c>
      <c r="R45" s="30" t="str">
        <f t="shared" si="6"/>
        <v/>
      </c>
      <c r="S45" s="250" t="str">
        <f t="shared" si="7"/>
        <v/>
      </c>
      <c r="T45" s="30" t="str">
        <f t="shared" si="8"/>
        <v/>
      </c>
      <c r="U45" s="254"/>
      <c r="V45" s="252">
        <f t="shared" si="12"/>
        <v>0</v>
      </c>
      <c r="W45" s="32"/>
      <c r="X45" s="252">
        <f t="shared" si="13"/>
        <v>0</v>
      </c>
      <c r="Y45" s="505"/>
      <c r="Z45" s="301"/>
      <c r="AA45" s="31">
        <f t="shared" si="14"/>
        <v>0</v>
      </c>
      <c r="AB45" s="32" t="str">
        <f t="shared" si="15"/>
        <v/>
      </c>
      <c r="AC45" s="41" t="e">
        <f>(I45-(SUM(K$8:K44)-SUM(J$8:J44))/(COUNTIF(C$8:C$61,"")-2))/D45</f>
        <v>#DIV/0!</v>
      </c>
      <c r="AD45" s="261">
        <f t="shared" si="20"/>
        <v>0</v>
      </c>
      <c r="AE45" s="32" t="str">
        <f t="shared" si="16"/>
        <v/>
      </c>
      <c r="AF45" s="319" t="str">
        <f t="shared" si="17"/>
        <v/>
      </c>
    </row>
    <row r="46" spans="1:34" ht="10.5" customHeight="1">
      <c r="A46" s="24"/>
      <c r="B46" s="24">
        <v>1</v>
      </c>
      <c r="C46" s="24">
        <f t="shared" si="10"/>
        <v>0</v>
      </c>
      <c r="D46" s="246"/>
      <c r="E46" s="25"/>
      <c r="F46" s="246"/>
      <c r="G46" s="248" t="str">
        <f t="shared" si="2"/>
        <v/>
      </c>
      <c r="H46" s="25"/>
      <c r="I46" s="246"/>
      <c r="J46" s="248" t="str">
        <f t="shared" si="18"/>
        <v/>
      </c>
      <c r="K46" s="244"/>
      <c r="L46" s="263" t="str">
        <f t="shared" si="19"/>
        <v/>
      </c>
      <c r="M46" s="26" t="e">
        <f t="shared" si="4"/>
        <v>#VALUE!</v>
      </c>
      <c r="N46" s="27" t="str">
        <f>IFERROR(SUM($I$8:I46)/SUM($D$8:D46),"")</f>
        <v/>
      </c>
      <c r="O46" s="29" t="str">
        <f t="shared" si="5"/>
        <v/>
      </c>
      <c r="P46" s="29" t="str">
        <f>IF(O46&lt;&gt;"",SUM($K$8:K46)/SUM($E$8:E46),"")</f>
        <v/>
      </c>
      <c r="Q46" s="250" t="str">
        <f t="shared" si="11"/>
        <v/>
      </c>
      <c r="R46" s="30" t="str">
        <f t="shared" si="6"/>
        <v/>
      </c>
      <c r="S46" s="250" t="str">
        <f t="shared" si="7"/>
        <v/>
      </c>
      <c r="T46" s="30" t="str">
        <f t="shared" si="8"/>
        <v/>
      </c>
      <c r="U46" s="254"/>
      <c r="V46" s="252">
        <f t="shared" si="12"/>
        <v>0</v>
      </c>
      <c r="W46" s="32"/>
      <c r="X46" s="252">
        <f t="shared" si="13"/>
        <v>0</v>
      </c>
      <c r="Y46" s="505"/>
      <c r="Z46" s="301"/>
      <c r="AA46" s="31">
        <f t="shared" si="14"/>
        <v>0</v>
      </c>
      <c r="AB46" s="32" t="str">
        <f t="shared" si="15"/>
        <v/>
      </c>
      <c r="AC46" s="41" t="e">
        <f>(I46-(SUM(K$8:K45)-SUM(J$8:J45))/(COUNTIF(C$8:C$61,"")-2))/D46</f>
        <v>#DIV/0!</v>
      </c>
      <c r="AD46" s="261">
        <f t="shared" si="20"/>
        <v>0</v>
      </c>
      <c r="AE46" s="32" t="str">
        <f t="shared" si="16"/>
        <v/>
      </c>
      <c r="AF46" s="319" t="str">
        <f t="shared" si="17"/>
        <v/>
      </c>
    </row>
    <row r="47" spans="1:34" ht="10.5" customHeight="1">
      <c r="A47" s="24"/>
      <c r="B47" s="24">
        <v>1</v>
      </c>
      <c r="C47" s="24">
        <f t="shared" si="10"/>
        <v>0</v>
      </c>
      <c r="D47" s="246"/>
      <c r="E47" s="25"/>
      <c r="F47" s="246"/>
      <c r="G47" s="248" t="str">
        <f t="shared" si="2"/>
        <v/>
      </c>
      <c r="H47" s="25"/>
      <c r="I47" s="246"/>
      <c r="J47" s="248" t="str">
        <f t="shared" si="18"/>
        <v/>
      </c>
      <c r="K47" s="244"/>
      <c r="L47" s="263" t="str">
        <f t="shared" si="19"/>
        <v/>
      </c>
      <c r="M47" s="26" t="e">
        <f t="shared" si="4"/>
        <v>#VALUE!</v>
      </c>
      <c r="N47" s="27" t="str">
        <f>IFERROR(SUM($I$8:I47)/SUM($D$8:D47),"")</f>
        <v/>
      </c>
      <c r="O47" s="29" t="str">
        <f t="shared" si="5"/>
        <v/>
      </c>
      <c r="P47" s="29" t="str">
        <f>IF(O47&lt;&gt;"",SUM($K$8:K47)/SUM($E$8:E47),"")</f>
        <v/>
      </c>
      <c r="Q47" s="250" t="str">
        <f t="shared" si="11"/>
        <v/>
      </c>
      <c r="R47" s="30" t="str">
        <f t="shared" si="6"/>
        <v/>
      </c>
      <c r="S47" s="250" t="str">
        <f t="shared" si="7"/>
        <v/>
      </c>
      <c r="T47" s="30" t="str">
        <f t="shared" si="8"/>
        <v/>
      </c>
      <c r="U47" s="254"/>
      <c r="V47" s="252">
        <f t="shared" si="12"/>
        <v>0</v>
      </c>
      <c r="W47" s="32"/>
      <c r="X47" s="252">
        <f t="shared" si="13"/>
        <v>0</v>
      </c>
      <c r="Y47" s="505"/>
      <c r="Z47" s="301"/>
      <c r="AA47" s="31">
        <f t="shared" si="14"/>
        <v>0</v>
      </c>
      <c r="AB47" s="32" t="str">
        <f t="shared" si="15"/>
        <v/>
      </c>
      <c r="AC47" s="41" t="e">
        <f>(I47-(SUM(K$8:K46)-SUM(J$8:J46))/(COUNTIF(C$8:C$61,"")-2))/D47</f>
        <v>#DIV/0!</v>
      </c>
      <c r="AD47" s="261">
        <f t="shared" si="20"/>
        <v>0</v>
      </c>
      <c r="AE47" s="32" t="str">
        <f t="shared" si="16"/>
        <v/>
      </c>
      <c r="AF47" s="319" t="str">
        <f t="shared" si="17"/>
        <v/>
      </c>
    </row>
    <row r="48" spans="1:34" ht="10.5" customHeight="1">
      <c r="A48" s="24"/>
      <c r="B48" s="24">
        <v>1</v>
      </c>
      <c r="C48" s="24">
        <f t="shared" si="10"/>
        <v>0</v>
      </c>
      <c r="D48" s="246"/>
      <c r="E48" s="25"/>
      <c r="F48" s="246"/>
      <c r="G48" s="248" t="str">
        <f t="shared" si="2"/>
        <v/>
      </c>
      <c r="H48" s="25"/>
      <c r="I48" s="246"/>
      <c r="J48" s="248" t="str">
        <f t="shared" si="18"/>
        <v/>
      </c>
      <c r="K48" s="244"/>
      <c r="L48" s="263" t="str">
        <f t="shared" si="19"/>
        <v/>
      </c>
      <c r="M48" s="26" t="e">
        <f t="shared" si="4"/>
        <v>#VALUE!</v>
      </c>
      <c r="N48" s="27" t="str">
        <f>IFERROR(SUM($I$8:I48)/SUM($D$8:D48),"")</f>
        <v/>
      </c>
      <c r="O48" s="29" t="str">
        <f t="shared" si="5"/>
        <v/>
      </c>
      <c r="P48" s="29" t="str">
        <f>IF(O48&lt;&gt;"",SUM($K$8:K48)/SUM($E$8:E48),"")</f>
        <v/>
      </c>
      <c r="Q48" s="250" t="str">
        <f t="shared" si="11"/>
        <v/>
      </c>
      <c r="R48" s="30" t="str">
        <f t="shared" si="6"/>
        <v/>
      </c>
      <c r="S48" s="250" t="str">
        <f t="shared" si="7"/>
        <v/>
      </c>
      <c r="T48" s="30" t="str">
        <f t="shared" si="8"/>
        <v/>
      </c>
      <c r="U48" s="254"/>
      <c r="V48" s="252">
        <f t="shared" si="12"/>
        <v>0</v>
      </c>
      <c r="W48" s="32"/>
      <c r="X48" s="252">
        <f t="shared" si="13"/>
        <v>0</v>
      </c>
      <c r="Y48" s="505"/>
      <c r="Z48" s="301"/>
      <c r="AA48" s="31">
        <f t="shared" si="14"/>
        <v>0</v>
      </c>
      <c r="AB48" s="32" t="str">
        <f t="shared" si="15"/>
        <v/>
      </c>
      <c r="AC48" s="41" t="e">
        <f>(I48-(SUM(K$8:K47)-SUM(J$8:J47))/(COUNTIF(C$8:C$61,"")-2))/D48</f>
        <v>#DIV/0!</v>
      </c>
      <c r="AD48" s="261">
        <f t="shared" si="20"/>
        <v>0</v>
      </c>
      <c r="AE48" s="32" t="str">
        <f t="shared" si="16"/>
        <v/>
      </c>
      <c r="AF48" s="319" t="str">
        <f t="shared" si="17"/>
        <v/>
      </c>
    </row>
    <row r="49" spans="1:32" ht="10.5" customHeight="1">
      <c r="A49" s="24"/>
      <c r="B49" s="24">
        <v>1</v>
      </c>
      <c r="C49" s="24">
        <f t="shared" si="10"/>
        <v>0</v>
      </c>
      <c r="D49" s="246"/>
      <c r="E49" s="25"/>
      <c r="F49" s="246"/>
      <c r="G49" s="248" t="str">
        <f t="shared" si="2"/>
        <v/>
      </c>
      <c r="H49" s="25"/>
      <c r="I49" s="246"/>
      <c r="J49" s="248" t="str">
        <f t="shared" si="18"/>
        <v/>
      </c>
      <c r="K49" s="244"/>
      <c r="L49" s="263" t="str">
        <f t="shared" si="19"/>
        <v/>
      </c>
      <c r="M49" s="26" t="e">
        <f t="shared" si="4"/>
        <v>#VALUE!</v>
      </c>
      <c r="N49" s="27" t="str">
        <f>IFERROR(SUM($I$8:I49)/SUM($D$8:D49),"")</f>
        <v/>
      </c>
      <c r="O49" s="29" t="str">
        <f t="shared" si="5"/>
        <v/>
      </c>
      <c r="P49" s="29" t="str">
        <f>IF(O49&lt;&gt;"",SUM($K$8:K49)/SUM($E$8:E49),"")</f>
        <v/>
      </c>
      <c r="Q49" s="250" t="str">
        <f t="shared" si="11"/>
        <v/>
      </c>
      <c r="R49" s="30" t="str">
        <f t="shared" si="6"/>
        <v/>
      </c>
      <c r="S49" s="250" t="str">
        <f t="shared" si="7"/>
        <v/>
      </c>
      <c r="T49" s="30" t="str">
        <f t="shared" si="8"/>
        <v/>
      </c>
      <c r="U49" s="254"/>
      <c r="V49" s="252">
        <f t="shared" si="12"/>
        <v>0</v>
      </c>
      <c r="W49" s="32"/>
      <c r="X49" s="252">
        <f t="shared" si="13"/>
        <v>0</v>
      </c>
      <c r="Y49" s="505"/>
      <c r="Z49" s="301"/>
      <c r="AA49" s="31">
        <f t="shared" si="14"/>
        <v>0</v>
      </c>
      <c r="AB49" s="32" t="str">
        <f t="shared" si="15"/>
        <v/>
      </c>
      <c r="AC49" s="41" t="e">
        <f>(I49-(SUM(K$8:K48)-SUM(J$8:J48))/(COUNTIF(C$8:C$61,"")-2))/D49</f>
        <v>#DIV/0!</v>
      </c>
      <c r="AD49" s="261">
        <f t="shared" si="20"/>
        <v>0</v>
      </c>
      <c r="AE49" s="32" t="str">
        <f t="shared" si="16"/>
        <v/>
      </c>
      <c r="AF49" s="319" t="str">
        <f t="shared" si="17"/>
        <v/>
      </c>
    </row>
    <row r="50" spans="1:32" ht="10.5" customHeight="1">
      <c r="A50" s="24"/>
      <c r="B50" s="24">
        <v>1</v>
      </c>
      <c r="C50" s="24">
        <f t="shared" si="10"/>
        <v>0</v>
      </c>
      <c r="D50" s="246"/>
      <c r="E50" s="25"/>
      <c r="F50" s="246"/>
      <c r="G50" s="248" t="str">
        <f t="shared" si="2"/>
        <v/>
      </c>
      <c r="H50" s="25"/>
      <c r="I50" s="246"/>
      <c r="J50" s="248" t="str">
        <f t="shared" si="18"/>
        <v/>
      </c>
      <c r="K50" s="244"/>
      <c r="L50" s="263" t="str">
        <f t="shared" si="19"/>
        <v/>
      </c>
      <c r="M50" s="26" t="e">
        <f t="shared" si="4"/>
        <v>#VALUE!</v>
      </c>
      <c r="N50" s="27" t="str">
        <f>IFERROR(SUM($I$8:I50)/SUM($D$8:D50),"")</f>
        <v/>
      </c>
      <c r="O50" s="29" t="str">
        <f t="shared" si="5"/>
        <v/>
      </c>
      <c r="P50" s="29" t="str">
        <f>IF(O50&lt;&gt;"",SUM($K$8:K50)/SUM($E$8:E50),"")</f>
        <v/>
      </c>
      <c r="Q50" s="250" t="str">
        <f t="shared" si="11"/>
        <v/>
      </c>
      <c r="R50" s="30" t="str">
        <f t="shared" si="6"/>
        <v/>
      </c>
      <c r="S50" s="250" t="str">
        <f t="shared" si="7"/>
        <v/>
      </c>
      <c r="T50" s="30" t="str">
        <f t="shared" si="8"/>
        <v/>
      </c>
      <c r="U50" s="254"/>
      <c r="V50" s="252">
        <f t="shared" si="12"/>
        <v>0</v>
      </c>
      <c r="W50" s="32"/>
      <c r="X50" s="252">
        <f t="shared" si="13"/>
        <v>0</v>
      </c>
      <c r="Y50" s="505"/>
      <c r="Z50" s="301"/>
      <c r="AA50" s="31">
        <f t="shared" si="14"/>
        <v>0</v>
      </c>
      <c r="AB50" s="32" t="str">
        <f t="shared" si="15"/>
        <v/>
      </c>
      <c r="AC50" s="41" t="e">
        <f>(I50-(SUM(K$8:K49)-SUM(J$8:J49))/(COUNTIF(C$8:C$61,"")-2))/D50</f>
        <v>#DIV/0!</v>
      </c>
      <c r="AD50" s="261">
        <f t="shared" si="20"/>
        <v>0</v>
      </c>
      <c r="AE50" s="32" t="str">
        <f t="shared" si="16"/>
        <v/>
      </c>
      <c r="AF50" s="319" t="str">
        <f t="shared" si="17"/>
        <v/>
      </c>
    </row>
    <row r="51" spans="1:32" ht="10.5" customHeight="1">
      <c r="A51" s="24"/>
      <c r="B51" s="24">
        <v>1</v>
      </c>
      <c r="C51" s="24">
        <f t="shared" si="10"/>
        <v>0</v>
      </c>
      <c r="D51" s="246"/>
      <c r="E51" s="25"/>
      <c r="F51" s="246"/>
      <c r="G51" s="248" t="str">
        <f t="shared" si="2"/>
        <v/>
      </c>
      <c r="H51" s="25"/>
      <c r="I51" s="246"/>
      <c r="J51" s="248" t="str">
        <f t="shared" si="18"/>
        <v/>
      </c>
      <c r="K51" s="244"/>
      <c r="L51" s="263" t="str">
        <f t="shared" si="19"/>
        <v/>
      </c>
      <c r="M51" s="26" t="e">
        <f t="shared" si="4"/>
        <v>#VALUE!</v>
      </c>
      <c r="N51" s="27" t="str">
        <f>IFERROR(SUM($I$8:I51)/SUM($D$8:D51),"")</f>
        <v/>
      </c>
      <c r="O51" s="29" t="str">
        <f t="shared" si="5"/>
        <v/>
      </c>
      <c r="P51" s="29" t="str">
        <f>IF(O51&lt;&gt;"",SUM($K$8:K51)/SUM($E$8:E51),"")</f>
        <v/>
      </c>
      <c r="Q51" s="250" t="str">
        <f t="shared" si="11"/>
        <v/>
      </c>
      <c r="R51" s="30" t="str">
        <f t="shared" si="6"/>
        <v/>
      </c>
      <c r="S51" s="250" t="str">
        <f t="shared" si="7"/>
        <v/>
      </c>
      <c r="T51" s="30" t="str">
        <f t="shared" si="8"/>
        <v/>
      </c>
      <c r="U51" s="254"/>
      <c r="V51" s="252">
        <f t="shared" si="12"/>
        <v>0</v>
      </c>
      <c r="W51" s="32"/>
      <c r="X51" s="252">
        <f t="shared" si="13"/>
        <v>0</v>
      </c>
      <c r="Y51" s="505"/>
      <c r="Z51" s="301"/>
      <c r="AA51" s="31">
        <f t="shared" si="14"/>
        <v>0</v>
      </c>
      <c r="AB51" s="32" t="str">
        <f t="shared" si="15"/>
        <v/>
      </c>
      <c r="AC51" s="41" t="e">
        <f>(I51-(SUM(K$8:K50)-SUM(J$8:J50))/(COUNTIF(C$8:C$61,"")-2))/D51</f>
        <v>#DIV/0!</v>
      </c>
      <c r="AD51" s="261">
        <f t="shared" si="20"/>
        <v>0</v>
      </c>
      <c r="AE51" s="32" t="str">
        <f t="shared" si="16"/>
        <v/>
      </c>
      <c r="AF51" s="319" t="str">
        <f t="shared" si="17"/>
        <v/>
      </c>
    </row>
    <row r="52" spans="1:32" ht="10.5" customHeight="1">
      <c r="A52" s="24"/>
      <c r="B52" s="24">
        <v>1</v>
      </c>
      <c r="C52" s="24">
        <f t="shared" si="10"/>
        <v>0</v>
      </c>
      <c r="D52" s="246"/>
      <c r="E52" s="25"/>
      <c r="F52" s="246"/>
      <c r="G52" s="248" t="str">
        <f t="shared" si="2"/>
        <v/>
      </c>
      <c r="H52" s="25"/>
      <c r="I52" s="246"/>
      <c r="J52" s="248" t="str">
        <f t="shared" si="18"/>
        <v/>
      </c>
      <c r="K52" s="244"/>
      <c r="L52" s="263" t="str">
        <f t="shared" si="19"/>
        <v/>
      </c>
      <c r="M52" s="26" t="e">
        <f t="shared" si="4"/>
        <v>#VALUE!</v>
      </c>
      <c r="N52" s="27" t="str">
        <f>IFERROR(SUM($I$8:I52)/SUM($D$8:D52),"")</f>
        <v/>
      </c>
      <c r="O52" s="29" t="str">
        <f t="shared" si="5"/>
        <v/>
      </c>
      <c r="P52" s="29" t="str">
        <f>IF(O52&lt;&gt;"",SUM($K$8:K52)/SUM($E$8:E52),"")</f>
        <v/>
      </c>
      <c r="Q52" s="250" t="str">
        <f t="shared" si="11"/>
        <v/>
      </c>
      <c r="R52" s="30" t="str">
        <f t="shared" si="6"/>
        <v/>
      </c>
      <c r="S52" s="250" t="str">
        <f t="shared" si="7"/>
        <v/>
      </c>
      <c r="T52" s="30" t="str">
        <f t="shared" si="8"/>
        <v/>
      </c>
      <c r="U52" s="254"/>
      <c r="V52" s="252">
        <f t="shared" si="12"/>
        <v>0</v>
      </c>
      <c r="W52" s="32"/>
      <c r="X52" s="252">
        <f t="shared" si="13"/>
        <v>0</v>
      </c>
      <c r="Y52" s="505"/>
      <c r="Z52" s="301"/>
      <c r="AA52" s="31">
        <f t="shared" si="14"/>
        <v>0</v>
      </c>
      <c r="AB52" s="32" t="str">
        <f t="shared" si="15"/>
        <v/>
      </c>
      <c r="AC52" s="41" t="e">
        <f>(I52-(SUM(K$8:K51)-SUM(J$8:J51))/(COUNTIF(C$8:C$61,"")-2))/D52</f>
        <v>#DIV/0!</v>
      </c>
      <c r="AD52" s="261">
        <f t="shared" si="20"/>
        <v>0</v>
      </c>
      <c r="AE52" s="32" t="str">
        <f t="shared" si="16"/>
        <v/>
      </c>
      <c r="AF52" s="319" t="str">
        <f t="shared" si="17"/>
        <v/>
      </c>
    </row>
    <row r="53" spans="1:32" ht="10.5" customHeight="1">
      <c r="A53" s="24"/>
      <c r="B53" s="24">
        <v>1</v>
      </c>
      <c r="C53" s="24">
        <f t="shared" si="10"/>
        <v>0</v>
      </c>
      <c r="D53" s="246"/>
      <c r="E53" s="25"/>
      <c r="F53" s="246"/>
      <c r="G53" s="248" t="str">
        <f t="shared" si="2"/>
        <v/>
      </c>
      <c r="H53" s="25"/>
      <c r="I53" s="246"/>
      <c r="J53" s="248" t="str">
        <f t="shared" si="18"/>
        <v/>
      </c>
      <c r="K53" s="244"/>
      <c r="L53" s="263" t="str">
        <f t="shared" si="19"/>
        <v/>
      </c>
      <c r="M53" s="26" t="e">
        <f t="shared" si="4"/>
        <v>#VALUE!</v>
      </c>
      <c r="N53" s="27" t="str">
        <f>IFERROR(SUM($I$8:I53)/SUM($D$8:D53),"")</f>
        <v/>
      </c>
      <c r="O53" s="29" t="str">
        <f t="shared" si="5"/>
        <v/>
      </c>
      <c r="P53" s="29" t="str">
        <f>IF(O53&lt;&gt;"",SUM($K$8:K53)/SUM($E$8:E53),"")</f>
        <v/>
      </c>
      <c r="Q53" s="250" t="str">
        <f t="shared" si="11"/>
        <v/>
      </c>
      <c r="R53" s="30" t="str">
        <f t="shared" si="6"/>
        <v/>
      </c>
      <c r="S53" s="250" t="str">
        <f t="shared" si="7"/>
        <v/>
      </c>
      <c r="T53" s="30" t="str">
        <f t="shared" si="8"/>
        <v/>
      </c>
      <c r="U53" s="254"/>
      <c r="V53" s="252">
        <f t="shared" si="12"/>
        <v>0</v>
      </c>
      <c r="W53" s="32"/>
      <c r="X53" s="252">
        <f t="shared" si="13"/>
        <v>0</v>
      </c>
      <c r="Y53" s="505"/>
      <c r="Z53" s="301"/>
      <c r="AA53" s="31">
        <f t="shared" si="14"/>
        <v>0</v>
      </c>
      <c r="AB53" s="32" t="str">
        <f t="shared" si="15"/>
        <v/>
      </c>
      <c r="AC53" s="41" t="e">
        <f>(I53-(SUM(K$8:K52)-SUM(J$8:J52))/(COUNTIF(C$8:C$61,"")-2))/D53</f>
        <v>#DIV/0!</v>
      </c>
      <c r="AD53" s="261">
        <f t="shared" si="20"/>
        <v>0</v>
      </c>
      <c r="AE53" s="32" t="str">
        <f t="shared" si="16"/>
        <v/>
      </c>
      <c r="AF53" s="319" t="str">
        <f t="shared" si="17"/>
        <v/>
      </c>
    </row>
    <row r="54" spans="1:32" ht="10.5" customHeight="1">
      <c r="A54" s="24"/>
      <c r="B54" s="24">
        <v>1</v>
      </c>
      <c r="C54" s="24">
        <f t="shared" si="10"/>
        <v>0</v>
      </c>
      <c r="D54" s="246"/>
      <c r="E54" s="25"/>
      <c r="F54" s="246"/>
      <c r="G54" s="248" t="str">
        <f t="shared" si="2"/>
        <v/>
      </c>
      <c r="H54" s="25"/>
      <c r="I54" s="246"/>
      <c r="J54" s="248" t="str">
        <f t="shared" si="18"/>
        <v/>
      </c>
      <c r="K54" s="244"/>
      <c r="L54" s="263" t="str">
        <f t="shared" si="19"/>
        <v/>
      </c>
      <c r="M54" s="26" t="e">
        <f t="shared" si="4"/>
        <v>#VALUE!</v>
      </c>
      <c r="N54" s="27" t="str">
        <f>IFERROR(SUM($I$8:I54)/SUM($D$8:D54),"")</f>
        <v/>
      </c>
      <c r="O54" s="29" t="str">
        <f t="shared" si="5"/>
        <v/>
      </c>
      <c r="P54" s="29" t="str">
        <f>IF(O54&lt;&gt;"",SUM($K$8:K54)/SUM($E$8:E54),"")</f>
        <v/>
      </c>
      <c r="Q54" s="250" t="str">
        <f t="shared" si="11"/>
        <v/>
      </c>
      <c r="R54" s="30" t="str">
        <f t="shared" si="6"/>
        <v/>
      </c>
      <c r="S54" s="250" t="str">
        <f t="shared" si="7"/>
        <v/>
      </c>
      <c r="T54" s="30" t="str">
        <f t="shared" si="8"/>
        <v/>
      </c>
      <c r="U54" s="254"/>
      <c r="V54" s="252">
        <f t="shared" si="12"/>
        <v>0</v>
      </c>
      <c r="W54" s="32"/>
      <c r="X54" s="252">
        <f t="shared" si="13"/>
        <v>0</v>
      </c>
      <c r="Y54" s="505"/>
      <c r="Z54" s="301"/>
      <c r="AA54" s="31">
        <f t="shared" si="14"/>
        <v>0</v>
      </c>
      <c r="AB54" s="32" t="str">
        <f t="shared" si="15"/>
        <v/>
      </c>
      <c r="AC54" s="41" t="e">
        <f>(I54-(SUM(K$8:K53)-SUM(J$8:J53))/(COUNTIF(C$8:C$61,"")-2))/D54</f>
        <v>#DIV/0!</v>
      </c>
      <c r="AD54" s="261">
        <f t="shared" si="20"/>
        <v>0</v>
      </c>
      <c r="AE54" s="32" t="str">
        <f t="shared" si="16"/>
        <v/>
      </c>
      <c r="AF54" s="319" t="str">
        <f t="shared" si="17"/>
        <v/>
      </c>
    </row>
    <row r="55" spans="1:32" ht="10.5" customHeight="1">
      <c r="A55" s="24"/>
      <c r="B55" s="24">
        <v>1</v>
      </c>
      <c r="C55" s="24">
        <f t="shared" si="10"/>
        <v>0</v>
      </c>
      <c r="D55" s="246"/>
      <c r="E55" s="25"/>
      <c r="F55" s="246"/>
      <c r="G55" s="248" t="str">
        <f t="shared" si="2"/>
        <v/>
      </c>
      <c r="H55" s="25"/>
      <c r="I55" s="246"/>
      <c r="J55" s="248" t="str">
        <f t="shared" si="18"/>
        <v/>
      </c>
      <c r="K55" s="244"/>
      <c r="L55" s="263" t="str">
        <f t="shared" si="19"/>
        <v/>
      </c>
      <c r="M55" s="26" t="e">
        <f t="shared" si="4"/>
        <v>#VALUE!</v>
      </c>
      <c r="N55" s="27" t="str">
        <f>IFERROR(SUM($I$8:I55)/SUM($D$8:D55),"")</f>
        <v/>
      </c>
      <c r="O55" s="29" t="str">
        <f t="shared" si="5"/>
        <v/>
      </c>
      <c r="P55" s="29" t="str">
        <f>IF(O55&lt;&gt;"",SUM($K$8:K55)/SUM($E$8:E55),"")</f>
        <v/>
      </c>
      <c r="Q55" s="250" t="str">
        <f t="shared" si="11"/>
        <v/>
      </c>
      <c r="R55" s="30" t="str">
        <f t="shared" si="6"/>
        <v/>
      </c>
      <c r="S55" s="250" t="str">
        <f t="shared" si="7"/>
        <v/>
      </c>
      <c r="T55" s="30" t="str">
        <f t="shared" si="8"/>
        <v/>
      </c>
      <c r="U55" s="254"/>
      <c r="V55" s="252">
        <f t="shared" si="12"/>
        <v>0</v>
      </c>
      <c r="W55" s="32"/>
      <c r="X55" s="252">
        <f t="shared" si="13"/>
        <v>0</v>
      </c>
      <c r="Y55" s="505"/>
      <c r="Z55" s="301"/>
      <c r="AA55" s="31">
        <f t="shared" si="14"/>
        <v>0</v>
      </c>
      <c r="AB55" s="32" t="str">
        <f t="shared" si="15"/>
        <v/>
      </c>
      <c r="AC55" s="41" t="e">
        <f>(I55-(SUM(K$8:K54)-SUM(J$8:J54))/(COUNTIF(C$8:C$61,"")-2))/D55</f>
        <v>#DIV/0!</v>
      </c>
      <c r="AD55" s="261">
        <f t="shared" si="20"/>
        <v>0</v>
      </c>
      <c r="AE55" s="32" t="str">
        <f t="shared" si="16"/>
        <v/>
      </c>
      <c r="AF55" s="319" t="str">
        <f t="shared" si="17"/>
        <v/>
      </c>
    </row>
    <row r="56" spans="1:32" ht="10.5" customHeight="1">
      <c r="A56" s="24"/>
      <c r="B56" s="24">
        <v>1</v>
      </c>
      <c r="C56" s="24">
        <f t="shared" si="10"/>
        <v>0</v>
      </c>
      <c r="D56" s="246"/>
      <c r="E56" s="25"/>
      <c r="F56" s="246"/>
      <c r="G56" s="248" t="str">
        <f t="shared" si="2"/>
        <v/>
      </c>
      <c r="H56" s="25"/>
      <c r="I56" s="246"/>
      <c r="J56" s="248" t="str">
        <f t="shared" si="18"/>
        <v/>
      </c>
      <c r="K56" s="244"/>
      <c r="L56" s="263" t="str">
        <f t="shared" si="19"/>
        <v/>
      </c>
      <c r="M56" s="26" t="e">
        <f t="shared" si="4"/>
        <v>#VALUE!</v>
      </c>
      <c r="N56" s="27" t="str">
        <f>IFERROR(SUM($I$8:I56)/SUM($D$8:D56),"")</f>
        <v/>
      </c>
      <c r="O56" s="29" t="str">
        <f t="shared" si="5"/>
        <v/>
      </c>
      <c r="P56" s="29" t="str">
        <f>IF(O56&lt;&gt;"",SUM($K$8:K56)/SUM($E$8:E56),"")</f>
        <v/>
      </c>
      <c r="Q56" s="250" t="str">
        <f t="shared" si="11"/>
        <v/>
      </c>
      <c r="R56" s="30" t="str">
        <f t="shared" si="6"/>
        <v/>
      </c>
      <c r="S56" s="250" t="str">
        <f t="shared" si="7"/>
        <v/>
      </c>
      <c r="T56" s="30" t="str">
        <f t="shared" si="8"/>
        <v/>
      </c>
      <c r="U56" s="254"/>
      <c r="V56" s="252">
        <f t="shared" si="12"/>
        <v>0</v>
      </c>
      <c r="W56" s="32"/>
      <c r="X56" s="252">
        <f t="shared" si="13"/>
        <v>0</v>
      </c>
      <c r="Y56" s="505"/>
      <c r="Z56" s="301"/>
      <c r="AA56" s="31">
        <f t="shared" si="14"/>
        <v>0</v>
      </c>
      <c r="AB56" s="32" t="str">
        <f t="shared" si="15"/>
        <v/>
      </c>
      <c r="AC56" s="41" t="e">
        <f>(I56-(SUM(K$8:K55)-SUM(J$8:J55))/(COUNTIF(C$8:C$61,"")-2))/D56</f>
        <v>#DIV/0!</v>
      </c>
      <c r="AD56" s="261">
        <f t="shared" si="20"/>
        <v>0</v>
      </c>
      <c r="AE56" s="32" t="str">
        <f t="shared" si="16"/>
        <v/>
      </c>
      <c r="AF56" s="319" t="str">
        <f t="shared" si="17"/>
        <v/>
      </c>
    </row>
    <row r="57" spans="1:32" ht="10.5" customHeight="1">
      <c r="A57" s="24"/>
      <c r="B57" s="24">
        <v>1</v>
      </c>
      <c r="C57" s="24">
        <f t="shared" si="10"/>
        <v>0</v>
      </c>
      <c r="D57" s="246"/>
      <c r="E57" s="25"/>
      <c r="F57" s="246"/>
      <c r="G57" s="248" t="str">
        <f t="shared" si="2"/>
        <v/>
      </c>
      <c r="H57" s="25"/>
      <c r="I57" s="246"/>
      <c r="J57" s="248" t="str">
        <f t="shared" si="18"/>
        <v/>
      </c>
      <c r="K57" s="244"/>
      <c r="L57" s="263" t="str">
        <f t="shared" si="19"/>
        <v/>
      </c>
      <c r="M57" s="26" t="e">
        <f t="shared" si="4"/>
        <v>#VALUE!</v>
      </c>
      <c r="N57" s="27" t="str">
        <f>IFERROR(SUM($I$8:I57)/SUM($D$8:D57),"")</f>
        <v/>
      </c>
      <c r="O57" s="29" t="str">
        <f t="shared" si="5"/>
        <v/>
      </c>
      <c r="P57" s="29" t="str">
        <f>IF(O57&lt;&gt;"",SUM($K$8:K57)/SUM($E$8:E57),"")</f>
        <v/>
      </c>
      <c r="Q57" s="250" t="str">
        <f t="shared" si="11"/>
        <v/>
      </c>
      <c r="R57" s="30" t="str">
        <f t="shared" si="6"/>
        <v/>
      </c>
      <c r="S57" s="250" t="str">
        <f t="shared" si="7"/>
        <v/>
      </c>
      <c r="T57" s="30" t="str">
        <f t="shared" si="8"/>
        <v/>
      </c>
      <c r="U57" s="254"/>
      <c r="V57" s="252">
        <f t="shared" si="12"/>
        <v>0</v>
      </c>
      <c r="W57" s="32"/>
      <c r="X57" s="252">
        <f t="shared" si="13"/>
        <v>0</v>
      </c>
      <c r="Y57" s="505"/>
      <c r="Z57" s="301"/>
      <c r="AA57" s="31">
        <f t="shared" si="14"/>
        <v>0</v>
      </c>
      <c r="AB57" s="32" t="str">
        <f t="shared" si="15"/>
        <v/>
      </c>
      <c r="AC57" s="41" t="e">
        <f>(I57-(SUM(K$8:K56)-SUM(J$8:J56))/(COUNTIF(C$8:C$61,"")-2))/D57</f>
        <v>#DIV/0!</v>
      </c>
      <c r="AD57" s="261">
        <f t="shared" si="20"/>
        <v>0</v>
      </c>
      <c r="AE57" s="32" t="str">
        <f t="shared" si="16"/>
        <v/>
      </c>
      <c r="AF57" s="319" t="str">
        <f t="shared" si="17"/>
        <v/>
      </c>
    </row>
    <row r="58" spans="1:32" ht="10.5" customHeight="1">
      <c r="A58" s="24"/>
      <c r="B58" s="24">
        <v>1</v>
      </c>
      <c r="C58" s="24">
        <f t="shared" si="10"/>
        <v>0</v>
      </c>
      <c r="D58" s="246"/>
      <c r="E58" s="25"/>
      <c r="F58" s="246"/>
      <c r="G58" s="248" t="str">
        <f t="shared" si="2"/>
        <v/>
      </c>
      <c r="H58" s="25"/>
      <c r="I58" s="246"/>
      <c r="J58" s="248" t="str">
        <f t="shared" si="18"/>
        <v/>
      </c>
      <c r="K58" s="244"/>
      <c r="L58" s="263" t="str">
        <f t="shared" si="19"/>
        <v/>
      </c>
      <c r="M58" s="26" t="e">
        <f t="shared" si="4"/>
        <v>#VALUE!</v>
      </c>
      <c r="N58" s="27" t="str">
        <f>IFERROR(SUM($I$8:I58)/SUM($D$8:D58),"")</f>
        <v/>
      </c>
      <c r="O58" s="29" t="str">
        <f t="shared" si="5"/>
        <v/>
      </c>
      <c r="P58" s="29" t="str">
        <f>IF(O58&lt;&gt;"",SUM($K$8:K58)/SUM($E$8:E58),"")</f>
        <v/>
      </c>
      <c r="Q58" s="250" t="str">
        <f t="shared" si="11"/>
        <v/>
      </c>
      <c r="R58" s="30" t="str">
        <f t="shared" si="6"/>
        <v/>
      </c>
      <c r="S58" s="250" t="str">
        <f t="shared" si="7"/>
        <v/>
      </c>
      <c r="T58" s="30" t="str">
        <f t="shared" si="8"/>
        <v/>
      </c>
      <c r="U58" s="254"/>
      <c r="V58" s="252">
        <f t="shared" si="12"/>
        <v>0</v>
      </c>
      <c r="W58" s="32"/>
      <c r="X58" s="252">
        <f t="shared" si="13"/>
        <v>0</v>
      </c>
      <c r="Y58" s="505"/>
      <c r="Z58" s="301"/>
      <c r="AA58" s="31">
        <f t="shared" si="14"/>
        <v>0</v>
      </c>
      <c r="AB58" s="32" t="str">
        <f t="shared" si="15"/>
        <v/>
      </c>
      <c r="AC58" s="41" t="e">
        <f>(I58-(SUM(K$8:K57)-SUM(J$8:J57))/(COUNTIF(C$8:C$61,"")-2))/D58</f>
        <v>#DIV/0!</v>
      </c>
      <c r="AD58" s="261">
        <f t="shared" si="20"/>
        <v>0</v>
      </c>
      <c r="AE58" s="32" t="str">
        <f t="shared" si="16"/>
        <v/>
      </c>
      <c r="AF58" s="319" t="str">
        <f t="shared" si="17"/>
        <v/>
      </c>
    </row>
    <row r="59" spans="1:32" ht="10.5" customHeight="1">
      <c r="A59" s="24"/>
      <c r="B59" s="24">
        <v>1</v>
      </c>
      <c r="C59" s="24">
        <f t="shared" si="10"/>
        <v>0</v>
      </c>
      <c r="D59" s="246"/>
      <c r="E59" s="25"/>
      <c r="F59" s="246"/>
      <c r="G59" s="248" t="str">
        <f t="shared" si="2"/>
        <v/>
      </c>
      <c r="H59" s="25"/>
      <c r="I59" s="246"/>
      <c r="J59" s="248" t="str">
        <f t="shared" si="18"/>
        <v/>
      </c>
      <c r="K59" s="244"/>
      <c r="L59" s="263" t="str">
        <f t="shared" si="19"/>
        <v/>
      </c>
      <c r="M59" s="26" t="e">
        <f t="shared" si="4"/>
        <v>#VALUE!</v>
      </c>
      <c r="N59" s="27" t="str">
        <f>IFERROR(SUM($I$8:I59)/SUM($D$8:D59),"")</f>
        <v/>
      </c>
      <c r="O59" s="29" t="str">
        <f t="shared" si="5"/>
        <v/>
      </c>
      <c r="P59" s="29" t="str">
        <f>IF(O59&lt;&gt;"",SUM($K$8:K59)/SUM($E$8:E59),"")</f>
        <v/>
      </c>
      <c r="Q59" s="250" t="str">
        <f t="shared" si="11"/>
        <v/>
      </c>
      <c r="R59" s="30" t="str">
        <f t="shared" si="6"/>
        <v/>
      </c>
      <c r="S59" s="250" t="str">
        <f t="shared" si="7"/>
        <v/>
      </c>
      <c r="T59" s="30" t="str">
        <f t="shared" si="8"/>
        <v/>
      </c>
      <c r="U59" s="254"/>
      <c r="V59" s="252">
        <f t="shared" si="12"/>
        <v>0</v>
      </c>
      <c r="W59" s="32"/>
      <c r="X59" s="252">
        <f t="shared" si="13"/>
        <v>0</v>
      </c>
      <c r="Y59" s="505"/>
      <c r="Z59" s="301"/>
      <c r="AA59" s="31">
        <f t="shared" si="14"/>
        <v>0</v>
      </c>
      <c r="AB59" s="32" t="str">
        <f t="shared" si="15"/>
        <v/>
      </c>
      <c r="AC59" s="41" t="e">
        <f>(I59-(SUM(K$8:K58)-SUM(J$8:J58))/(COUNTIF(C$8:C$61,"")-2))/D59</f>
        <v>#DIV/0!</v>
      </c>
      <c r="AD59" s="261">
        <f t="shared" si="20"/>
        <v>0</v>
      </c>
      <c r="AE59" s="32" t="str">
        <f t="shared" si="16"/>
        <v/>
      </c>
      <c r="AF59" s="319" t="str">
        <f t="shared" si="17"/>
        <v/>
      </c>
    </row>
    <row r="60" spans="1:32" ht="10.5" customHeight="1">
      <c r="A60" s="24"/>
      <c r="B60" s="24">
        <v>1</v>
      </c>
      <c r="C60" s="24">
        <f t="shared" si="10"/>
        <v>0</v>
      </c>
      <c r="D60" s="246"/>
      <c r="E60" s="25"/>
      <c r="F60" s="246"/>
      <c r="G60" s="248" t="str">
        <f t="shared" si="2"/>
        <v/>
      </c>
      <c r="H60" s="25"/>
      <c r="I60" s="246"/>
      <c r="J60" s="248" t="str">
        <f t="shared" si="18"/>
        <v/>
      </c>
      <c r="K60" s="244"/>
      <c r="L60" s="263" t="str">
        <f t="shared" si="19"/>
        <v/>
      </c>
      <c r="M60" s="26" t="e">
        <f t="shared" si="4"/>
        <v>#VALUE!</v>
      </c>
      <c r="N60" s="27" t="str">
        <f>IFERROR(SUM($I$8:I60)/SUM($D$8:D60),"")</f>
        <v/>
      </c>
      <c r="O60" s="29" t="str">
        <f t="shared" si="5"/>
        <v/>
      </c>
      <c r="P60" s="29" t="str">
        <f>IF(O60&lt;&gt;"",SUM($K$8:K60)/SUM($E$8:E60),"")</f>
        <v/>
      </c>
      <c r="Q60" s="250" t="str">
        <f t="shared" si="11"/>
        <v/>
      </c>
      <c r="R60" s="30" t="str">
        <f t="shared" si="6"/>
        <v/>
      </c>
      <c r="S60" s="250" t="str">
        <f t="shared" si="7"/>
        <v/>
      </c>
      <c r="T60" s="30" t="str">
        <f t="shared" si="8"/>
        <v/>
      </c>
      <c r="U60" s="254"/>
      <c r="V60" s="252">
        <f t="shared" si="12"/>
        <v>0</v>
      </c>
      <c r="W60" s="32"/>
      <c r="X60" s="252">
        <f t="shared" si="13"/>
        <v>0</v>
      </c>
      <c r="Y60" s="505"/>
      <c r="Z60" s="301"/>
      <c r="AA60" s="31">
        <f t="shared" si="14"/>
        <v>0</v>
      </c>
      <c r="AB60" s="32" t="str">
        <f t="shared" si="15"/>
        <v/>
      </c>
      <c r="AC60" s="41" t="e">
        <f>(I60-(SUM(K$8:K59)-SUM(J$8:J59))/(COUNTIF(C$8:C$61,"")-2))/D60</f>
        <v>#DIV/0!</v>
      </c>
      <c r="AD60" s="261">
        <f t="shared" si="20"/>
        <v>0</v>
      </c>
      <c r="AE60" s="32" t="str">
        <f t="shared" si="16"/>
        <v/>
      </c>
      <c r="AF60" s="319" t="str">
        <f t="shared" si="17"/>
        <v/>
      </c>
    </row>
    <row r="61" spans="1:32" ht="10.5" customHeight="1" thickBot="1">
      <c r="A61" s="24"/>
      <c r="B61" s="24">
        <v>1</v>
      </c>
      <c r="C61" s="24">
        <f t="shared" si="10"/>
        <v>0</v>
      </c>
      <c r="D61" s="247"/>
      <c r="E61" s="34"/>
      <c r="F61" s="247"/>
      <c r="G61" s="249" t="str">
        <f t="shared" si="2"/>
        <v/>
      </c>
      <c r="H61" s="34"/>
      <c r="I61" s="247"/>
      <c r="J61" s="249" t="str">
        <f t="shared" si="18"/>
        <v/>
      </c>
      <c r="K61" s="245"/>
      <c r="L61" s="264" t="str">
        <f t="shared" si="19"/>
        <v/>
      </c>
      <c r="M61" s="35" t="e">
        <f t="shared" si="4"/>
        <v>#VALUE!</v>
      </c>
      <c r="N61" s="36" t="str">
        <f>IFERROR(SUM($I$8:I61)/SUM($D$8:D61),"")</f>
        <v/>
      </c>
      <c r="O61" s="37" t="str">
        <f t="shared" si="5"/>
        <v/>
      </c>
      <c r="P61" s="37" t="str">
        <f>IF(O61&lt;&gt;"",SUM($K$8:K61)/SUM($E$8:E61),"")</f>
        <v/>
      </c>
      <c r="Q61" s="251" t="str">
        <f t="shared" si="11"/>
        <v/>
      </c>
      <c r="R61" s="38" t="str">
        <f t="shared" si="6"/>
        <v/>
      </c>
      <c r="S61" s="251" t="str">
        <f t="shared" si="7"/>
        <v/>
      </c>
      <c r="T61" s="38" t="str">
        <f t="shared" si="8"/>
        <v/>
      </c>
      <c r="U61" s="255"/>
      <c r="V61" s="253">
        <f t="shared" si="12"/>
        <v>0</v>
      </c>
      <c r="W61" s="258"/>
      <c r="X61" s="252">
        <f t="shared" si="13"/>
        <v>0</v>
      </c>
      <c r="Y61" s="506"/>
      <c r="Z61" s="302"/>
      <c r="AA61" s="259">
        <f t="shared" si="14"/>
        <v>0</v>
      </c>
      <c r="AB61" s="258" t="str">
        <f t="shared" si="15"/>
        <v/>
      </c>
      <c r="AC61" s="260" t="str">
        <f>IFERROR((I61-(SUM(K$8:K60)-SUM(J$8:J60))/(COUNTIF(C$8:C$61,"")-2))/D61,"")</f>
        <v/>
      </c>
      <c r="AD61" s="262">
        <f t="shared" si="20"/>
        <v>0</v>
      </c>
      <c r="AE61" s="258" t="str">
        <f t="shared" si="16"/>
        <v/>
      </c>
      <c r="AF61" s="320" t="str">
        <f t="shared" si="17"/>
        <v/>
      </c>
    </row>
    <row r="62" spans="1:32" ht="10.5" customHeight="1">
      <c r="AC62" s="42"/>
    </row>
    <row r="63" spans="1:32" ht="10.5" customHeight="1">
      <c r="D63" s="830"/>
      <c r="E63" s="830"/>
      <c r="F63" s="830"/>
      <c r="AC63" s="42"/>
    </row>
    <row r="64" spans="1:32" ht="10.5" customHeight="1">
      <c r="AC64" s="42"/>
    </row>
    <row r="65" spans="29:29" ht="10.5" customHeight="1">
      <c r="AC65" s="42"/>
    </row>
    <row r="66" spans="29:29" ht="10.5" customHeight="1">
      <c r="AC66" s="42"/>
    </row>
    <row r="67" spans="29:29" ht="10.5" customHeight="1">
      <c r="AC67" s="42"/>
    </row>
    <row r="68" spans="29:29" ht="10.5" customHeight="1">
      <c r="AC68" s="42"/>
    </row>
    <row r="69" spans="29:29" ht="10.5" customHeight="1">
      <c r="AC69" s="42"/>
    </row>
    <row r="70" spans="29:29" ht="10.5" customHeight="1">
      <c r="AC70" s="42"/>
    </row>
    <row r="71" spans="29:29" ht="10.5" customHeight="1">
      <c r="AC71" s="42"/>
    </row>
    <row r="72" spans="29:29" ht="10.5" customHeight="1">
      <c r="AC72" s="42"/>
    </row>
    <row r="73" spans="29:29" ht="10.5" customHeight="1">
      <c r="AC73" s="42"/>
    </row>
    <row r="74" spans="29:29" ht="10.5" customHeight="1">
      <c r="AC74" s="42"/>
    </row>
    <row r="75" spans="29:29" ht="10.5" customHeight="1">
      <c r="AC75" s="42"/>
    </row>
    <row r="76" spans="29:29" ht="10.5" customHeight="1">
      <c r="AC76" s="42"/>
    </row>
    <row r="77" spans="29:29" ht="10.5" customHeight="1">
      <c r="AC77" s="42"/>
    </row>
    <row r="78" spans="29:29" ht="10.5" customHeight="1">
      <c r="AC78" s="42"/>
    </row>
    <row r="79" spans="29:29" ht="10.5" customHeight="1">
      <c r="AC79" s="42"/>
    </row>
    <row r="80" spans="29:29" ht="10.5" customHeight="1">
      <c r="AC80" s="42"/>
    </row>
    <row r="81" spans="29:29" ht="10.5" customHeight="1">
      <c r="AC81" s="42"/>
    </row>
    <row r="82" spans="29:29" ht="10.5" customHeight="1">
      <c r="AC82" s="42"/>
    </row>
    <row r="83" spans="29:29" ht="10.5" customHeight="1">
      <c r="AC83" s="42"/>
    </row>
    <row r="84" spans="29:29" ht="10.5" customHeight="1">
      <c r="AC84" s="42"/>
    </row>
    <row r="85" spans="29:29" ht="10.5" customHeight="1">
      <c r="AC85" s="42"/>
    </row>
    <row r="86" spans="29:29" ht="10.5" customHeight="1">
      <c r="AC86" s="42"/>
    </row>
    <row r="87" spans="29:29" ht="10.5" customHeight="1">
      <c r="AC87" s="42"/>
    </row>
    <row r="88" spans="29:29" ht="10.5" customHeight="1">
      <c r="AC88" s="42"/>
    </row>
    <row r="89" spans="29:29" ht="10.5" customHeight="1">
      <c r="AC89" s="42"/>
    </row>
    <row r="90" spans="29:29" ht="10.5" customHeight="1">
      <c r="AC90" s="42"/>
    </row>
    <row r="91" spans="29:29" ht="10.5" customHeight="1">
      <c r="AC91" s="42"/>
    </row>
    <row r="92" spans="29:29" ht="10.5" customHeight="1">
      <c r="AC92" s="42"/>
    </row>
    <row r="93" spans="29:29" ht="10.5" customHeight="1">
      <c r="AC93" s="42"/>
    </row>
    <row r="94" spans="29:29" ht="10.5" customHeight="1">
      <c r="AC94" s="42"/>
    </row>
    <row r="95" spans="29:29" ht="10.5" customHeight="1">
      <c r="AC95" s="42"/>
    </row>
    <row r="96" spans="29:29" ht="10.5" customHeight="1">
      <c r="AC96" s="42"/>
    </row>
    <row r="97" spans="29:29" ht="10.5" customHeight="1">
      <c r="AC97" s="42"/>
    </row>
    <row r="98" spans="29:29" ht="10.5" customHeight="1">
      <c r="AC98" s="42"/>
    </row>
    <row r="99" spans="29:29" ht="10.5" customHeight="1">
      <c r="AC99" s="42"/>
    </row>
    <row r="100" spans="29:29" ht="10.5" customHeight="1">
      <c r="AC100" s="42"/>
    </row>
    <row r="101" spans="29:29" ht="10.5" customHeight="1">
      <c r="AC101" s="42"/>
    </row>
  </sheetData>
  <sheetProtection sheet="1" objects="1" scenarios="1"/>
  <dataConsolidate/>
  <mergeCells count="30">
    <mergeCell ref="AD4:AE4"/>
    <mergeCell ref="AA4:AB4"/>
    <mergeCell ref="AA6:AA7"/>
    <mergeCell ref="AB6:AB7"/>
    <mergeCell ref="AD6:AD7"/>
    <mergeCell ref="AE6:AE7"/>
    <mergeCell ref="AF6:AF7"/>
    <mergeCell ref="K6:K7"/>
    <mergeCell ref="Z6:Z7"/>
    <mergeCell ref="W6:W7"/>
    <mergeCell ref="P6:P7"/>
    <mergeCell ref="R6:R7"/>
    <mergeCell ref="T6:T7"/>
    <mergeCell ref="O6:O7"/>
    <mergeCell ref="D63:F63"/>
    <mergeCell ref="D2:K3"/>
    <mergeCell ref="L2:P3"/>
    <mergeCell ref="Q2:AB3"/>
    <mergeCell ref="D4:E4"/>
    <mergeCell ref="F4:H4"/>
    <mergeCell ref="I4:K4"/>
    <mergeCell ref="L4:P4"/>
    <mergeCell ref="Q4:R4"/>
    <mergeCell ref="S4:T4"/>
    <mergeCell ref="U4:X4"/>
    <mergeCell ref="Y4:Z4"/>
    <mergeCell ref="E6:E7"/>
    <mergeCell ref="G6:G7"/>
    <mergeCell ref="H6:H7"/>
    <mergeCell ref="J6:J7"/>
  </mergeCells>
  <conditionalFormatting sqref="L2">
    <cfRule type="iconSet" priority="1">
      <iconSet iconSet="3Symbols" reverse="1">
        <cfvo type="percent" val="0"/>
        <cfvo type="num" val="0"/>
        <cfvo type="num" val="0"/>
      </iconSet>
    </cfRule>
  </conditionalFormatting>
  <pageMargins left="0.17" right="0.17" top="0.31" bottom="0.16" header="0.31496062992125984" footer="0.16"/>
  <pageSetup paperSize="9" scale="51" orientation="landscape" r:id="rId1"/>
  <headerFooter>
    <oddFooter>&amp;L&amp;1#&amp;"Calibri"&amp;8 Classification: Open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Spinner 1">
              <controlPr defaultSize="0" autoPict="0">
                <anchor moveWithCells="1" sizeWithCells="1">
                  <from>
                    <xdr:col>5</xdr:col>
                    <xdr:colOff>0</xdr:colOff>
                    <xdr:row>0</xdr:row>
                    <xdr:rowOff>0</xdr:rowOff>
                  </from>
                  <to>
                    <xdr:col>5</xdr:col>
                    <xdr:colOff>0</xdr:colOff>
                    <xdr:row>0</xdr:row>
                    <xdr:rowOff>0</xdr:rowOff>
                  </to>
                </anchor>
              </controlPr>
            </control>
          </mc:Choice>
        </mc:AlternateContent>
        <mc:AlternateContent xmlns:mc="http://schemas.openxmlformats.org/markup-compatibility/2006">
          <mc:Choice Requires="x14">
            <control shapeId="4098" r:id="rId5" name="Spinner 2">
              <controlPr defaultSize="0" autoPict="0">
                <anchor moveWithCells="1" sizeWithCells="1">
                  <from>
                    <xdr:col>5</xdr:col>
                    <xdr:colOff>0</xdr:colOff>
                    <xdr:row>0</xdr:row>
                    <xdr:rowOff>0</xdr:rowOff>
                  </from>
                  <to>
                    <xdr:col>5</xdr:col>
                    <xdr:colOff>0</xdr:colOff>
                    <xdr:row>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4"/>
  </sheetPr>
  <dimension ref="A1:W78"/>
  <sheetViews>
    <sheetView zoomScaleNormal="100" workbookViewId="0">
      <pane ySplit="7" topLeftCell="A8" activePane="bottomLeft" state="frozenSplit"/>
      <selection activeCell="K13" sqref="K13"/>
      <selection pane="bottomLeft" activeCell="F17" sqref="F17"/>
    </sheetView>
  </sheetViews>
  <sheetFormatPr baseColWidth="10" defaultColWidth="9" defaultRowHeight="10.5" customHeight="1"/>
  <cols>
    <col min="1" max="1" width="4.28515625" customWidth="1"/>
    <col min="2" max="3" width="1.85546875" hidden="1" customWidth="1"/>
    <col min="4" max="4" width="10.140625" style="45" bestFit="1" customWidth="1"/>
    <col min="5" max="6" width="10" style="45" customWidth="1"/>
    <col min="7" max="7" width="8.140625" style="45" customWidth="1"/>
    <col min="8" max="8" width="7.28515625" bestFit="1" customWidth="1"/>
    <col min="9" max="9" width="7.140625" style="521" bestFit="1" customWidth="1"/>
    <col min="10" max="10" width="5" bestFit="1" customWidth="1"/>
    <col min="11" max="12" width="9.28515625" bestFit="1" customWidth="1"/>
    <col min="13" max="13" width="7.140625" style="408" bestFit="1" customWidth="1"/>
    <col min="14" max="14" width="5.42578125" style="408" bestFit="1" customWidth="1"/>
    <col min="15" max="16" width="9.28515625" bestFit="1" customWidth="1"/>
    <col min="17" max="17" width="10.140625" bestFit="1" customWidth="1"/>
    <col min="18" max="18" width="10.5703125" customWidth="1"/>
  </cols>
  <sheetData>
    <row r="1" spans="1:20" ht="30.75" customHeight="1">
      <c r="A1" s="77"/>
      <c r="B1" s="77"/>
      <c r="C1" s="77"/>
      <c r="D1" s="79" t="str">
        <f>sysX!A2</f>
        <v>4301</v>
      </c>
      <c r="E1" s="79" t="str">
        <f>sysX!A4</f>
        <v>BERJASEN</v>
      </c>
      <c r="F1" s="77"/>
      <c r="G1" s="81" t="str">
        <f>sysX!A6</f>
        <v>2019</v>
      </c>
      <c r="H1" s="77"/>
      <c r="I1" s="520"/>
      <c r="J1" s="77"/>
      <c r="K1" s="77"/>
      <c r="L1" s="77"/>
      <c r="M1" s="531"/>
      <c r="N1" s="531"/>
      <c r="O1" s="77"/>
      <c r="P1" s="77"/>
      <c r="Q1" s="77"/>
      <c r="R1" s="77"/>
    </row>
    <row r="2" spans="1:20" ht="10.5" customHeight="1">
      <c r="A2" s="11"/>
      <c r="B2" s="11"/>
      <c r="C2" s="11"/>
      <c r="D2" s="870" t="s">
        <v>317</v>
      </c>
      <c r="E2" s="870"/>
      <c r="F2" s="870"/>
      <c r="G2" s="870"/>
      <c r="H2" s="870"/>
      <c r="I2" s="870"/>
      <c r="J2" s="870"/>
      <c r="K2" s="870"/>
      <c r="L2" s="870"/>
      <c r="M2" s="870"/>
      <c r="N2" s="870"/>
      <c r="O2" s="870"/>
      <c r="P2" s="870"/>
      <c r="Q2" s="616"/>
      <c r="R2" s="616"/>
    </row>
    <row r="3" spans="1:20" ht="10.5" customHeight="1" thickBot="1">
      <c r="A3" s="12"/>
      <c r="B3" s="12"/>
      <c r="C3" s="12"/>
      <c r="D3" s="871"/>
      <c r="E3" s="871"/>
      <c r="F3" s="871"/>
      <c r="G3" s="871"/>
      <c r="H3" s="871"/>
      <c r="I3" s="871"/>
      <c r="J3" s="871"/>
      <c r="K3" s="871"/>
      <c r="L3" s="871"/>
      <c r="M3" s="871"/>
      <c r="N3" s="871"/>
      <c r="O3" s="871"/>
      <c r="P3" s="871"/>
      <c r="Q3" s="617"/>
      <c r="R3" s="617"/>
    </row>
    <row r="4" spans="1:20" ht="10.5" customHeight="1">
      <c r="A4" s="13"/>
      <c r="B4" s="14"/>
      <c r="C4" s="14"/>
      <c r="D4" s="837" t="s">
        <v>16</v>
      </c>
      <c r="E4" s="839"/>
      <c r="F4" s="839"/>
      <c r="G4" s="837" t="s">
        <v>314</v>
      </c>
      <c r="H4" s="839"/>
      <c r="I4" s="837" t="s">
        <v>315</v>
      </c>
      <c r="J4" s="839"/>
      <c r="K4" s="837" t="s">
        <v>157</v>
      </c>
      <c r="L4" s="838"/>
      <c r="M4" s="868" t="s">
        <v>316</v>
      </c>
      <c r="N4" s="869"/>
      <c r="O4" s="837" t="s">
        <v>381</v>
      </c>
      <c r="P4" s="838"/>
      <c r="Q4" s="837" t="s">
        <v>382</v>
      </c>
      <c r="R4" s="838"/>
    </row>
    <row r="5" spans="1:20" s="3" customFormat="1" ht="16.5" customHeight="1" thickBot="1">
      <c r="A5" s="15"/>
      <c r="B5" s="12"/>
      <c r="C5" s="12"/>
      <c r="D5" s="240" t="s">
        <v>22</v>
      </c>
      <c r="E5" s="516" t="s">
        <v>23</v>
      </c>
      <c r="F5" s="516" t="s">
        <v>280</v>
      </c>
      <c r="G5" s="240" t="s">
        <v>23</v>
      </c>
      <c r="H5" s="516" t="s">
        <v>280</v>
      </c>
      <c r="I5" s="240" t="s">
        <v>23</v>
      </c>
      <c r="J5" s="516" t="s">
        <v>280</v>
      </c>
      <c r="K5" s="16" t="s">
        <v>23</v>
      </c>
      <c r="L5" s="17" t="s">
        <v>280</v>
      </c>
      <c r="M5" s="527" t="s">
        <v>23</v>
      </c>
      <c r="N5" s="528" t="s">
        <v>280</v>
      </c>
      <c r="O5" s="16" t="s">
        <v>23</v>
      </c>
      <c r="P5" s="17" t="s">
        <v>280</v>
      </c>
      <c r="Q5" s="16" t="s">
        <v>23</v>
      </c>
      <c r="R5" s="17" t="s">
        <v>280</v>
      </c>
    </row>
    <row r="6" spans="1:20" s="43" customFormat="1" ht="15">
      <c r="A6" s="303" t="s">
        <v>27</v>
      </c>
      <c r="B6" s="304"/>
      <c r="C6" s="304"/>
      <c r="D6" s="305">
        <f>SUM(D8:D61)</f>
        <v>0</v>
      </c>
      <c r="E6" s="854">
        <f>SUM(E8:E61)</f>
        <v>0</v>
      </c>
      <c r="F6" s="517">
        <f>SUM(F8:F61)</f>
        <v>0</v>
      </c>
      <c r="G6" s="864">
        <f>SUM(G8:G61)</f>
        <v>0</v>
      </c>
      <c r="H6" s="522">
        <f>SUM(H8:H61)</f>
        <v>0</v>
      </c>
      <c r="I6" s="866" t="e">
        <f>E6/G6</f>
        <v>#DIV/0!</v>
      </c>
      <c r="J6" s="525" t="str">
        <f>IFERROR(F6/H6,"")</f>
        <v/>
      </c>
      <c r="K6" s="864">
        <f>SUM(K8:K61)</f>
        <v>0</v>
      </c>
      <c r="L6" s="522">
        <f>SUM(L8:L61)</f>
        <v>0</v>
      </c>
      <c r="M6" s="862" t="e">
        <f>K6/E6</f>
        <v>#DIV/0!</v>
      </c>
      <c r="N6" s="529" t="str">
        <f>IFERROR(L6/F6,"")</f>
        <v/>
      </c>
      <c r="O6" s="864">
        <f>SUM(O8:O61)</f>
        <v>0</v>
      </c>
      <c r="P6" s="522">
        <f>SUM(P8:P61)</f>
        <v>0</v>
      </c>
      <c r="Q6" s="864">
        <f>SUM(Q8:Q61)</f>
        <v>0</v>
      </c>
      <c r="R6" s="522">
        <f>SUM(R8:R61)</f>
        <v>0</v>
      </c>
    </row>
    <row r="7" spans="1:20" s="44" customFormat="1" ht="15.75" thickBot="1">
      <c r="A7" s="311" t="s">
        <v>51</v>
      </c>
      <c r="B7" s="312"/>
      <c r="C7" s="312"/>
      <c r="D7" s="313">
        <f>SUMIF($C8:$C61,1,D8:D61)</f>
        <v>0</v>
      </c>
      <c r="E7" s="855"/>
      <c r="F7" s="518">
        <f>SUMIF($C8:$C61,1,F8:F61)</f>
        <v>0</v>
      </c>
      <c r="G7" s="865"/>
      <c r="H7" s="523">
        <f>SUMIF($C8:$C61,1,H8:H61)</f>
        <v>0</v>
      </c>
      <c r="I7" s="867"/>
      <c r="J7" s="524" t="str">
        <f>IFERROR(F7/H7,"")</f>
        <v/>
      </c>
      <c r="K7" s="865"/>
      <c r="L7" s="523">
        <f>SUMIF($C8:$C61,1,L8:L61)</f>
        <v>0</v>
      </c>
      <c r="M7" s="863"/>
      <c r="N7" s="530" t="str">
        <f>IFERROR(L7/F7,"")</f>
        <v/>
      </c>
      <c r="O7" s="865"/>
      <c r="P7" s="523">
        <f>SUMIF($C8:$C61,1,P8:P61)</f>
        <v>0</v>
      </c>
      <c r="Q7" s="865"/>
      <c r="R7" s="523">
        <f>SUMIF($C8:$C61,1,R8:R61)</f>
        <v>0</v>
      </c>
    </row>
    <row r="8" spans="1:20" ht="10.5" customHeight="1">
      <c r="A8" s="532"/>
      <c r="B8" s="24">
        <f>IF(F8&lt;&gt;"",1,0)</f>
        <v>0</v>
      </c>
      <c r="C8" s="24">
        <f>IF(E8&lt;&gt;"",1,0)</f>
        <v>0</v>
      </c>
      <c r="D8" s="553"/>
      <c r="E8" s="519"/>
      <c r="F8" s="556"/>
      <c r="G8" s="545"/>
      <c r="H8" s="557"/>
      <c r="I8" s="546" t="str">
        <f>IFERROR(E8/G8,"")</f>
        <v/>
      </c>
      <c r="J8" s="559" t="str">
        <f>IFERROR(F8/H8,"")</f>
        <v/>
      </c>
      <c r="K8" s="33"/>
      <c r="L8" s="562"/>
      <c r="M8" s="547" t="str">
        <f>IFERROR(K8/E8,"")</f>
        <v/>
      </c>
      <c r="N8" s="564" t="str">
        <f>IFERROR(L8/F8,"")</f>
        <v/>
      </c>
      <c r="O8" s="618"/>
      <c r="P8" s="619"/>
      <c r="Q8" s="618">
        <f>E8-O8</f>
        <v>0</v>
      </c>
      <c r="R8" s="619">
        <f>F8-P8</f>
        <v>0</v>
      </c>
    </row>
    <row r="9" spans="1:20" ht="10.5" customHeight="1">
      <c r="A9" s="532"/>
      <c r="B9" s="24">
        <f t="shared" ref="B9:B61" si="0">IF(F9&lt;&gt;"",1,0)</f>
        <v>0</v>
      </c>
      <c r="C9" s="24">
        <f t="shared" ref="C9:C61" si="1">IF(E9&lt;&gt;"",1,0)</f>
        <v>0</v>
      </c>
      <c r="D9" s="554"/>
      <c r="E9" s="25"/>
      <c r="F9" s="557"/>
      <c r="G9" s="545"/>
      <c r="H9" s="557"/>
      <c r="I9" s="548" t="str">
        <f t="shared" ref="I9:I61" si="2">IFERROR(E9/G9,"")</f>
        <v/>
      </c>
      <c r="J9" s="560" t="str">
        <f t="shared" ref="J9:J61" si="3">IFERROR(F9/H9,"")</f>
        <v/>
      </c>
      <c r="K9" s="33"/>
      <c r="L9" s="562"/>
      <c r="M9" s="549" t="str">
        <f t="shared" ref="M9:M60" si="4">IFERROR(K9/E9,"")</f>
        <v/>
      </c>
      <c r="N9" s="565" t="str">
        <f t="shared" ref="N9:N61" si="5">IFERROR(L9/F9,"")</f>
        <v/>
      </c>
      <c r="O9" s="618"/>
      <c r="P9" s="619"/>
      <c r="Q9" s="618">
        <f t="shared" ref="Q9:Q60" si="6">E9-O9</f>
        <v>0</v>
      </c>
      <c r="R9" s="619">
        <f t="shared" ref="R9:R61" si="7">F9-P9</f>
        <v>0</v>
      </c>
      <c r="S9" s="622"/>
      <c r="T9" s="622"/>
    </row>
    <row r="10" spans="1:20" ht="10.5" customHeight="1">
      <c r="A10" s="532"/>
      <c r="B10" s="24">
        <f t="shared" si="0"/>
        <v>0</v>
      </c>
      <c r="C10" s="24">
        <f t="shared" si="1"/>
        <v>0</v>
      </c>
      <c r="D10" s="554"/>
      <c r="E10" s="25"/>
      <c r="F10" s="557"/>
      <c r="G10" s="545"/>
      <c r="H10" s="557"/>
      <c r="I10" s="548" t="str">
        <f t="shared" si="2"/>
        <v/>
      </c>
      <c r="J10" s="560" t="str">
        <f t="shared" si="3"/>
        <v/>
      </c>
      <c r="K10" s="33"/>
      <c r="L10" s="562"/>
      <c r="M10" s="549" t="str">
        <f t="shared" si="4"/>
        <v/>
      </c>
      <c r="N10" s="565" t="str">
        <f t="shared" si="5"/>
        <v/>
      </c>
      <c r="O10" s="618"/>
      <c r="P10" s="619"/>
      <c r="Q10" s="618">
        <f t="shared" si="6"/>
        <v>0</v>
      </c>
      <c r="R10" s="619">
        <f t="shared" si="7"/>
        <v>0</v>
      </c>
      <c r="S10" s="622"/>
      <c r="T10" s="622"/>
    </row>
    <row r="11" spans="1:20" ht="10.5" customHeight="1">
      <c r="A11" s="532"/>
      <c r="B11" s="24">
        <f t="shared" si="0"/>
        <v>0</v>
      </c>
      <c r="C11" s="24">
        <f t="shared" si="1"/>
        <v>0</v>
      </c>
      <c r="D11" s="554"/>
      <c r="E11" s="25"/>
      <c r="F11" s="557"/>
      <c r="G11" s="545"/>
      <c r="H11" s="557"/>
      <c r="I11" s="548" t="str">
        <f t="shared" si="2"/>
        <v/>
      </c>
      <c r="J11" s="560" t="str">
        <f t="shared" si="3"/>
        <v/>
      </c>
      <c r="K11" s="33"/>
      <c r="L11" s="562"/>
      <c r="M11" s="549" t="str">
        <f t="shared" si="4"/>
        <v/>
      </c>
      <c r="N11" s="565" t="str">
        <f t="shared" si="5"/>
        <v/>
      </c>
      <c r="O11" s="618"/>
      <c r="P11" s="619"/>
      <c r="Q11" s="618">
        <f t="shared" si="6"/>
        <v>0</v>
      </c>
      <c r="R11" s="619">
        <f t="shared" si="7"/>
        <v>0</v>
      </c>
      <c r="S11" s="622"/>
      <c r="T11" s="622"/>
    </row>
    <row r="12" spans="1:20" ht="10.5" customHeight="1">
      <c r="A12" s="532"/>
      <c r="B12" s="24">
        <f t="shared" si="0"/>
        <v>0</v>
      </c>
      <c r="C12" s="24">
        <f t="shared" si="1"/>
        <v>0</v>
      </c>
      <c r="D12" s="554"/>
      <c r="E12" s="25"/>
      <c r="F12" s="557"/>
      <c r="G12" s="545"/>
      <c r="H12" s="557"/>
      <c r="I12" s="548" t="str">
        <f t="shared" si="2"/>
        <v/>
      </c>
      <c r="J12" s="560" t="str">
        <f t="shared" si="3"/>
        <v/>
      </c>
      <c r="K12" s="33"/>
      <c r="L12" s="562"/>
      <c r="M12" s="549" t="str">
        <f t="shared" si="4"/>
        <v/>
      </c>
      <c r="N12" s="565" t="str">
        <f t="shared" si="5"/>
        <v/>
      </c>
      <c r="O12" s="618"/>
      <c r="P12" s="619"/>
      <c r="Q12" s="618">
        <f t="shared" si="6"/>
        <v>0</v>
      </c>
      <c r="R12" s="619">
        <f t="shared" si="7"/>
        <v>0</v>
      </c>
      <c r="S12" s="622"/>
      <c r="T12" s="622"/>
    </row>
    <row r="13" spans="1:20" ht="10.5" customHeight="1">
      <c r="A13" s="532"/>
      <c r="B13" s="24">
        <f t="shared" si="0"/>
        <v>0</v>
      </c>
      <c r="C13" s="24">
        <f t="shared" si="1"/>
        <v>0</v>
      </c>
      <c r="D13" s="554"/>
      <c r="E13" s="25"/>
      <c r="F13" s="557"/>
      <c r="G13" s="545"/>
      <c r="H13" s="557"/>
      <c r="I13" s="548" t="str">
        <f t="shared" si="2"/>
        <v/>
      </c>
      <c r="J13" s="560" t="str">
        <f t="shared" si="3"/>
        <v/>
      </c>
      <c r="K13" s="33"/>
      <c r="L13" s="562"/>
      <c r="M13" s="549" t="str">
        <f t="shared" si="4"/>
        <v/>
      </c>
      <c r="N13" s="565" t="str">
        <f t="shared" si="5"/>
        <v/>
      </c>
      <c r="O13" s="618"/>
      <c r="P13" s="619"/>
      <c r="Q13" s="618">
        <f t="shared" si="6"/>
        <v>0</v>
      </c>
      <c r="R13" s="619">
        <f t="shared" si="7"/>
        <v>0</v>
      </c>
      <c r="S13" s="622"/>
      <c r="T13" s="622"/>
    </row>
    <row r="14" spans="1:20" ht="10.5" customHeight="1">
      <c r="A14" s="532"/>
      <c r="B14" s="24">
        <f t="shared" si="0"/>
        <v>0</v>
      </c>
      <c r="C14" s="24">
        <f t="shared" si="1"/>
        <v>0</v>
      </c>
      <c r="D14" s="554"/>
      <c r="E14" s="25"/>
      <c r="F14" s="557"/>
      <c r="G14" s="545"/>
      <c r="H14" s="557"/>
      <c r="I14" s="548" t="str">
        <f t="shared" si="2"/>
        <v/>
      </c>
      <c r="J14" s="560" t="str">
        <f t="shared" si="3"/>
        <v/>
      </c>
      <c r="K14" s="33"/>
      <c r="L14" s="562"/>
      <c r="M14" s="549" t="str">
        <f t="shared" si="4"/>
        <v/>
      </c>
      <c r="N14" s="565" t="str">
        <f t="shared" si="5"/>
        <v/>
      </c>
      <c r="O14" s="618"/>
      <c r="P14" s="619"/>
      <c r="Q14" s="618">
        <f t="shared" si="6"/>
        <v>0</v>
      </c>
      <c r="R14" s="619">
        <f t="shared" si="7"/>
        <v>0</v>
      </c>
      <c r="S14" s="622"/>
      <c r="T14" s="622"/>
    </row>
    <row r="15" spans="1:20" ht="10.5" customHeight="1">
      <c r="A15" s="532"/>
      <c r="B15" s="24">
        <f t="shared" si="0"/>
        <v>0</v>
      </c>
      <c r="C15" s="24">
        <f t="shared" si="1"/>
        <v>0</v>
      </c>
      <c r="D15" s="554"/>
      <c r="E15" s="25"/>
      <c r="F15" s="557"/>
      <c r="G15" s="545"/>
      <c r="H15" s="557"/>
      <c r="I15" s="548" t="str">
        <f t="shared" si="2"/>
        <v/>
      </c>
      <c r="J15" s="560" t="str">
        <f t="shared" si="3"/>
        <v/>
      </c>
      <c r="K15" s="33"/>
      <c r="L15" s="562"/>
      <c r="M15" s="549" t="str">
        <f t="shared" si="4"/>
        <v/>
      </c>
      <c r="N15" s="565" t="str">
        <f t="shared" si="5"/>
        <v/>
      </c>
      <c r="O15" s="618"/>
      <c r="P15" s="619"/>
      <c r="Q15" s="618">
        <f t="shared" si="6"/>
        <v>0</v>
      </c>
      <c r="R15" s="619">
        <f t="shared" si="7"/>
        <v>0</v>
      </c>
      <c r="S15" s="622"/>
      <c r="T15" s="622"/>
    </row>
    <row r="16" spans="1:20" ht="10.5" customHeight="1">
      <c r="A16" s="532"/>
      <c r="B16" s="24">
        <f t="shared" si="0"/>
        <v>0</v>
      </c>
      <c r="C16" s="24">
        <f t="shared" si="1"/>
        <v>0</v>
      </c>
      <c r="D16" s="554"/>
      <c r="E16" s="25"/>
      <c r="F16" s="557"/>
      <c r="G16" s="545"/>
      <c r="H16" s="557"/>
      <c r="I16" s="548" t="str">
        <f t="shared" si="2"/>
        <v/>
      </c>
      <c r="J16" s="560" t="str">
        <f t="shared" si="3"/>
        <v/>
      </c>
      <c r="K16" s="33"/>
      <c r="L16" s="562"/>
      <c r="M16" s="549" t="str">
        <f t="shared" si="4"/>
        <v/>
      </c>
      <c r="N16" s="565" t="str">
        <f t="shared" si="5"/>
        <v/>
      </c>
      <c r="O16" s="618"/>
      <c r="P16" s="619"/>
      <c r="Q16" s="618">
        <f t="shared" si="6"/>
        <v>0</v>
      </c>
      <c r="R16" s="619">
        <f t="shared" si="7"/>
        <v>0</v>
      </c>
      <c r="S16" s="622"/>
      <c r="T16" s="622"/>
    </row>
    <row r="17" spans="1:20" ht="10.5" customHeight="1">
      <c r="A17" s="532"/>
      <c r="B17" s="24">
        <f t="shared" si="0"/>
        <v>0</v>
      </c>
      <c r="C17" s="24">
        <f t="shared" si="1"/>
        <v>0</v>
      </c>
      <c r="D17" s="554"/>
      <c r="E17" s="25"/>
      <c r="F17" s="557"/>
      <c r="G17" s="545"/>
      <c r="H17" s="557"/>
      <c r="I17" s="548" t="str">
        <f t="shared" si="2"/>
        <v/>
      </c>
      <c r="J17" s="560" t="str">
        <f t="shared" si="3"/>
        <v/>
      </c>
      <c r="K17" s="33"/>
      <c r="L17" s="562"/>
      <c r="M17" s="549" t="str">
        <f t="shared" si="4"/>
        <v/>
      </c>
      <c r="N17" s="565" t="str">
        <f t="shared" si="5"/>
        <v/>
      </c>
      <c r="O17" s="618"/>
      <c r="P17" s="619"/>
      <c r="Q17" s="618">
        <f t="shared" si="6"/>
        <v>0</v>
      </c>
      <c r="R17" s="619">
        <f t="shared" si="7"/>
        <v>0</v>
      </c>
      <c r="S17" s="622"/>
      <c r="T17" s="622"/>
    </row>
    <row r="18" spans="1:20" ht="10.5" customHeight="1">
      <c r="A18" s="532"/>
      <c r="B18" s="24">
        <f t="shared" si="0"/>
        <v>0</v>
      </c>
      <c r="C18" s="24">
        <f t="shared" si="1"/>
        <v>0</v>
      </c>
      <c r="D18" s="554"/>
      <c r="E18" s="25"/>
      <c r="F18" s="557"/>
      <c r="G18" s="545"/>
      <c r="H18" s="557"/>
      <c r="I18" s="548" t="str">
        <f t="shared" si="2"/>
        <v/>
      </c>
      <c r="J18" s="560" t="str">
        <f t="shared" si="3"/>
        <v/>
      </c>
      <c r="K18" s="33"/>
      <c r="L18" s="562"/>
      <c r="M18" s="549" t="str">
        <f t="shared" si="4"/>
        <v/>
      </c>
      <c r="N18" s="565" t="str">
        <f t="shared" si="5"/>
        <v/>
      </c>
      <c r="O18" s="618"/>
      <c r="P18" s="619"/>
      <c r="Q18" s="618">
        <f t="shared" si="6"/>
        <v>0</v>
      </c>
      <c r="R18" s="619">
        <f t="shared" si="7"/>
        <v>0</v>
      </c>
      <c r="S18" s="622"/>
      <c r="T18" s="622"/>
    </row>
    <row r="19" spans="1:20" ht="10.5" customHeight="1">
      <c r="A19" s="532"/>
      <c r="B19" s="24">
        <f t="shared" si="0"/>
        <v>0</v>
      </c>
      <c r="C19" s="24">
        <f t="shared" si="1"/>
        <v>0</v>
      </c>
      <c r="D19" s="554"/>
      <c r="E19" s="25"/>
      <c r="F19" s="557"/>
      <c r="G19" s="545"/>
      <c r="H19" s="557"/>
      <c r="I19" s="548" t="str">
        <f t="shared" si="2"/>
        <v/>
      </c>
      <c r="J19" s="560" t="str">
        <f t="shared" si="3"/>
        <v/>
      </c>
      <c r="K19" s="33"/>
      <c r="L19" s="562"/>
      <c r="M19" s="549" t="str">
        <f t="shared" si="4"/>
        <v/>
      </c>
      <c r="N19" s="565" t="str">
        <f t="shared" si="5"/>
        <v/>
      </c>
      <c r="O19" s="618"/>
      <c r="P19" s="619"/>
      <c r="Q19" s="618">
        <f t="shared" si="6"/>
        <v>0</v>
      </c>
      <c r="R19" s="619">
        <f t="shared" si="7"/>
        <v>0</v>
      </c>
      <c r="S19" s="622"/>
      <c r="T19" s="622"/>
    </row>
    <row r="20" spans="1:20" ht="10.5" customHeight="1">
      <c r="A20" s="532"/>
      <c r="B20" s="24">
        <f t="shared" si="0"/>
        <v>0</v>
      </c>
      <c r="C20" s="24">
        <f t="shared" si="1"/>
        <v>0</v>
      </c>
      <c r="D20" s="554"/>
      <c r="E20" s="25"/>
      <c r="F20" s="557"/>
      <c r="G20" s="545"/>
      <c r="H20" s="557"/>
      <c r="I20" s="548" t="str">
        <f t="shared" si="2"/>
        <v/>
      </c>
      <c r="J20" s="560" t="str">
        <f t="shared" si="3"/>
        <v/>
      </c>
      <c r="K20" s="33"/>
      <c r="L20" s="562"/>
      <c r="M20" s="549" t="str">
        <f t="shared" si="4"/>
        <v/>
      </c>
      <c r="N20" s="565" t="str">
        <f t="shared" si="5"/>
        <v/>
      </c>
      <c r="O20" s="618"/>
      <c r="P20" s="619"/>
      <c r="Q20" s="618">
        <f t="shared" si="6"/>
        <v>0</v>
      </c>
      <c r="R20" s="619">
        <f t="shared" si="7"/>
        <v>0</v>
      </c>
      <c r="S20" s="622"/>
      <c r="T20" s="622"/>
    </row>
    <row r="21" spans="1:20" ht="10.5" customHeight="1">
      <c r="A21" s="532"/>
      <c r="B21" s="24">
        <f t="shared" si="0"/>
        <v>0</v>
      </c>
      <c r="C21" s="24">
        <f t="shared" si="1"/>
        <v>0</v>
      </c>
      <c r="D21" s="554"/>
      <c r="E21" s="25"/>
      <c r="F21" s="557"/>
      <c r="G21" s="545"/>
      <c r="H21" s="557"/>
      <c r="I21" s="548" t="str">
        <f t="shared" si="2"/>
        <v/>
      </c>
      <c r="J21" s="560" t="str">
        <f t="shared" si="3"/>
        <v/>
      </c>
      <c r="K21" s="33"/>
      <c r="L21" s="562"/>
      <c r="M21" s="549" t="str">
        <f t="shared" si="4"/>
        <v/>
      </c>
      <c r="N21" s="565" t="str">
        <f t="shared" si="5"/>
        <v/>
      </c>
      <c r="O21" s="618"/>
      <c r="P21" s="619"/>
      <c r="Q21" s="618">
        <f t="shared" si="6"/>
        <v>0</v>
      </c>
      <c r="R21" s="619">
        <f t="shared" si="7"/>
        <v>0</v>
      </c>
      <c r="S21" s="622"/>
      <c r="T21" s="622"/>
    </row>
    <row r="22" spans="1:20" ht="10.5" customHeight="1">
      <c r="A22" s="532"/>
      <c r="B22" s="24">
        <f t="shared" si="0"/>
        <v>0</v>
      </c>
      <c r="C22" s="24">
        <f t="shared" si="1"/>
        <v>0</v>
      </c>
      <c r="D22" s="554"/>
      <c r="E22" s="25"/>
      <c r="F22" s="557"/>
      <c r="G22" s="545"/>
      <c r="H22" s="557"/>
      <c r="I22" s="548" t="str">
        <f t="shared" si="2"/>
        <v/>
      </c>
      <c r="J22" s="560" t="str">
        <f t="shared" si="3"/>
        <v/>
      </c>
      <c r="K22" s="33"/>
      <c r="L22" s="562"/>
      <c r="M22" s="549" t="str">
        <f t="shared" si="4"/>
        <v/>
      </c>
      <c r="N22" s="565" t="str">
        <f t="shared" si="5"/>
        <v/>
      </c>
      <c r="O22" s="618"/>
      <c r="P22" s="619"/>
      <c r="Q22" s="618">
        <f t="shared" si="6"/>
        <v>0</v>
      </c>
      <c r="R22" s="619">
        <f t="shared" si="7"/>
        <v>0</v>
      </c>
      <c r="S22" s="622"/>
      <c r="T22" s="622"/>
    </row>
    <row r="23" spans="1:20" ht="10.5" customHeight="1">
      <c r="A23" s="532"/>
      <c r="B23" s="24">
        <f t="shared" si="0"/>
        <v>0</v>
      </c>
      <c r="C23" s="24">
        <f t="shared" si="1"/>
        <v>0</v>
      </c>
      <c r="D23" s="554"/>
      <c r="E23" s="25"/>
      <c r="F23" s="557"/>
      <c r="G23" s="545"/>
      <c r="H23" s="557"/>
      <c r="I23" s="548" t="str">
        <f t="shared" si="2"/>
        <v/>
      </c>
      <c r="J23" s="560" t="str">
        <f t="shared" si="3"/>
        <v/>
      </c>
      <c r="K23" s="33"/>
      <c r="L23" s="562"/>
      <c r="M23" s="549" t="str">
        <f t="shared" si="4"/>
        <v/>
      </c>
      <c r="N23" s="565" t="str">
        <f t="shared" si="5"/>
        <v/>
      </c>
      <c r="O23" s="618"/>
      <c r="P23" s="619"/>
      <c r="Q23" s="618">
        <f t="shared" si="6"/>
        <v>0</v>
      </c>
      <c r="R23" s="619">
        <f t="shared" si="7"/>
        <v>0</v>
      </c>
      <c r="S23" s="622"/>
      <c r="T23" s="622"/>
    </row>
    <row r="24" spans="1:20" ht="10.5" customHeight="1">
      <c r="A24" s="532"/>
      <c r="B24" s="24">
        <f t="shared" si="0"/>
        <v>0</v>
      </c>
      <c r="C24" s="24">
        <f t="shared" si="1"/>
        <v>0</v>
      </c>
      <c r="D24" s="554"/>
      <c r="E24" s="25"/>
      <c r="F24" s="557"/>
      <c r="G24" s="545"/>
      <c r="H24" s="557"/>
      <c r="I24" s="548" t="str">
        <f t="shared" si="2"/>
        <v/>
      </c>
      <c r="J24" s="560" t="str">
        <f t="shared" si="3"/>
        <v/>
      </c>
      <c r="K24" s="33"/>
      <c r="L24" s="562"/>
      <c r="M24" s="549" t="str">
        <f t="shared" si="4"/>
        <v/>
      </c>
      <c r="N24" s="565" t="str">
        <f t="shared" si="5"/>
        <v/>
      </c>
      <c r="O24" s="618"/>
      <c r="P24" s="619"/>
      <c r="Q24" s="618">
        <f t="shared" si="6"/>
        <v>0</v>
      </c>
      <c r="R24" s="619">
        <f t="shared" si="7"/>
        <v>0</v>
      </c>
      <c r="S24" s="622"/>
      <c r="T24" s="622"/>
    </row>
    <row r="25" spans="1:20" ht="10.5" customHeight="1">
      <c r="A25" s="532"/>
      <c r="B25" s="24">
        <f t="shared" si="0"/>
        <v>0</v>
      </c>
      <c r="C25" s="24">
        <f t="shared" si="1"/>
        <v>0</v>
      </c>
      <c r="D25" s="554"/>
      <c r="E25" s="25"/>
      <c r="F25" s="557"/>
      <c r="G25" s="545"/>
      <c r="H25" s="557"/>
      <c r="I25" s="548" t="str">
        <f t="shared" si="2"/>
        <v/>
      </c>
      <c r="J25" s="560" t="str">
        <f t="shared" si="3"/>
        <v/>
      </c>
      <c r="K25" s="33"/>
      <c r="L25" s="562"/>
      <c r="M25" s="549" t="str">
        <f t="shared" si="4"/>
        <v/>
      </c>
      <c r="N25" s="565" t="str">
        <f t="shared" si="5"/>
        <v/>
      </c>
      <c r="O25" s="618"/>
      <c r="P25" s="619"/>
      <c r="Q25" s="618">
        <f t="shared" si="6"/>
        <v>0</v>
      </c>
      <c r="R25" s="619">
        <f t="shared" si="7"/>
        <v>0</v>
      </c>
      <c r="S25" s="622"/>
      <c r="T25" s="622"/>
    </row>
    <row r="26" spans="1:20" ht="10.5" customHeight="1">
      <c r="A26" s="532"/>
      <c r="B26" s="24">
        <f t="shared" si="0"/>
        <v>0</v>
      </c>
      <c r="C26" s="24">
        <f t="shared" si="1"/>
        <v>0</v>
      </c>
      <c r="D26" s="554"/>
      <c r="E26" s="25"/>
      <c r="F26" s="557"/>
      <c r="G26" s="545"/>
      <c r="H26" s="557"/>
      <c r="I26" s="548" t="str">
        <f t="shared" si="2"/>
        <v/>
      </c>
      <c r="J26" s="560" t="str">
        <f t="shared" si="3"/>
        <v/>
      </c>
      <c r="K26" s="33"/>
      <c r="L26" s="562"/>
      <c r="M26" s="549" t="str">
        <f t="shared" si="4"/>
        <v/>
      </c>
      <c r="N26" s="565" t="str">
        <f t="shared" si="5"/>
        <v/>
      </c>
      <c r="O26" s="618"/>
      <c r="P26" s="619"/>
      <c r="Q26" s="618">
        <f t="shared" si="6"/>
        <v>0</v>
      </c>
      <c r="R26" s="619">
        <f t="shared" si="7"/>
        <v>0</v>
      </c>
      <c r="S26" s="622"/>
      <c r="T26" s="622"/>
    </row>
    <row r="27" spans="1:20" ht="10.5" customHeight="1">
      <c r="A27" s="532"/>
      <c r="B27" s="24">
        <f t="shared" si="0"/>
        <v>0</v>
      </c>
      <c r="C27" s="24">
        <f t="shared" si="1"/>
        <v>0</v>
      </c>
      <c r="D27" s="554"/>
      <c r="E27" s="25"/>
      <c r="F27" s="557"/>
      <c r="G27" s="545"/>
      <c r="H27" s="557"/>
      <c r="I27" s="548" t="str">
        <f t="shared" si="2"/>
        <v/>
      </c>
      <c r="J27" s="560" t="str">
        <f t="shared" si="3"/>
        <v/>
      </c>
      <c r="K27" s="33"/>
      <c r="L27" s="562"/>
      <c r="M27" s="549" t="str">
        <f t="shared" si="4"/>
        <v/>
      </c>
      <c r="N27" s="565" t="str">
        <f t="shared" si="5"/>
        <v/>
      </c>
      <c r="O27" s="618"/>
      <c r="P27" s="619"/>
      <c r="Q27" s="618">
        <f t="shared" si="6"/>
        <v>0</v>
      </c>
      <c r="R27" s="619">
        <f t="shared" si="7"/>
        <v>0</v>
      </c>
      <c r="S27" s="622"/>
      <c r="T27" s="622"/>
    </row>
    <row r="28" spans="1:20" ht="10.5" customHeight="1">
      <c r="A28" s="532"/>
      <c r="B28" s="24">
        <f t="shared" si="0"/>
        <v>0</v>
      </c>
      <c r="C28" s="24">
        <f t="shared" si="1"/>
        <v>0</v>
      </c>
      <c r="D28" s="554"/>
      <c r="E28" s="25"/>
      <c r="F28" s="557"/>
      <c r="G28" s="545"/>
      <c r="H28" s="557"/>
      <c r="I28" s="548" t="str">
        <f t="shared" si="2"/>
        <v/>
      </c>
      <c r="J28" s="560" t="str">
        <f t="shared" si="3"/>
        <v/>
      </c>
      <c r="K28" s="33"/>
      <c r="L28" s="562"/>
      <c r="M28" s="549" t="str">
        <f t="shared" si="4"/>
        <v/>
      </c>
      <c r="N28" s="565" t="str">
        <f t="shared" si="5"/>
        <v/>
      </c>
      <c r="O28" s="618"/>
      <c r="P28" s="619"/>
      <c r="Q28" s="618">
        <f t="shared" si="6"/>
        <v>0</v>
      </c>
      <c r="R28" s="619">
        <f t="shared" si="7"/>
        <v>0</v>
      </c>
      <c r="S28" s="622"/>
      <c r="T28" s="622"/>
    </row>
    <row r="29" spans="1:20" ht="10.5" customHeight="1">
      <c r="A29" s="532"/>
      <c r="B29" s="24">
        <f t="shared" si="0"/>
        <v>0</v>
      </c>
      <c r="C29" s="24">
        <f t="shared" si="1"/>
        <v>0</v>
      </c>
      <c r="D29" s="554"/>
      <c r="E29" s="25"/>
      <c r="F29" s="557"/>
      <c r="G29" s="545"/>
      <c r="H29" s="557"/>
      <c r="I29" s="548" t="str">
        <f t="shared" si="2"/>
        <v/>
      </c>
      <c r="J29" s="560" t="str">
        <f t="shared" si="3"/>
        <v/>
      </c>
      <c r="K29" s="33"/>
      <c r="L29" s="562"/>
      <c r="M29" s="549" t="str">
        <f t="shared" si="4"/>
        <v/>
      </c>
      <c r="N29" s="565" t="str">
        <f t="shared" si="5"/>
        <v/>
      </c>
      <c r="O29" s="618"/>
      <c r="P29" s="619"/>
      <c r="Q29" s="618">
        <f t="shared" si="6"/>
        <v>0</v>
      </c>
      <c r="R29" s="619">
        <f t="shared" si="7"/>
        <v>0</v>
      </c>
      <c r="S29" s="622"/>
      <c r="T29" s="622"/>
    </row>
    <row r="30" spans="1:20" ht="10.5" customHeight="1">
      <c r="A30" s="532"/>
      <c r="B30" s="24">
        <f t="shared" si="0"/>
        <v>0</v>
      </c>
      <c r="C30" s="24">
        <f t="shared" si="1"/>
        <v>0</v>
      </c>
      <c r="D30" s="554"/>
      <c r="E30" s="25"/>
      <c r="F30" s="557"/>
      <c r="G30" s="545"/>
      <c r="H30" s="557"/>
      <c r="I30" s="548" t="str">
        <f t="shared" si="2"/>
        <v/>
      </c>
      <c r="J30" s="560" t="str">
        <f t="shared" si="3"/>
        <v/>
      </c>
      <c r="K30" s="33"/>
      <c r="L30" s="562"/>
      <c r="M30" s="549" t="str">
        <f t="shared" si="4"/>
        <v/>
      </c>
      <c r="N30" s="565" t="str">
        <f t="shared" si="5"/>
        <v/>
      </c>
      <c r="O30" s="618"/>
      <c r="P30" s="619"/>
      <c r="Q30" s="618">
        <f t="shared" si="6"/>
        <v>0</v>
      </c>
      <c r="R30" s="619">
        <f t="shared" si="7"/>
        <v>0</v>
      </c>
      <c r="S30" s="622"/>
      <c r="T30" s="622"/>
    </row>
    <row r="31" spans="1:20" ht="10.5" customHeight="1">
      <c r="A31" s="532"/>
      <c r="B31" s="24">
        <f t="shared" si="0"/>
        <v>0</v>
      </c>
      <c r="C31" s="24">
        <f t="shared" si="1"/>
        <v>0</v>
      </c>
      <c r="D31" s="554"/>
      <c r="E31" s="25"/>
      <c r="F31" s="557"/>
      <c r="G31" s="545"/>
      <c r="H31" s="557"/>
      <c r="I31" s="548" t="str">
        <f t="shared" si="2"/>
        <v/>
      </c>
      <c r="J31" s="560" t="str">
        <f t="shared" si="3"/>
        <v/>
      </c>
      <c r="K31" s="33"/>
      <c r="L31" s="562"/>
      <c r="M31" s="549" t="str">
        <f t="shared" si="4"/>
        <v/>
      </c>
      <c r="N31" s="565" t="str">
        <f t="shared" si="5"/>
        <v/>
      </c>
      <c r="O31" s="618"/>
      <c r="P31" s="619"/>
      <c r="Q31" s="618">
        <f t="shared" si="6"/>
        <v>0</v>
      </c>
      <c r="R31" s="619">
        <f t="shared" si="7"/>
        <v>0</v>
      </c>
      <c r="S31" s="622"/>
      <c r="T31" s="622"/>
    </row>
    <row r="32" spans="1:20" ht="10.5" customHeight="1">
      <c r="A32" s="532"/>
      <c r="B32" s="24">
        <f t="shared" si="0"/>
        <v>0</v>
      </c>
      <c r="C32" s="24">
        <f t="shared" si="1"/>
        <v>0</v>
      </c>
      <c r="D32" s="554"/>
      <c r="E32" s="25"/>
      <c r="F32" s="557"/>
      <c r="G32" s="545"/>
      <c r="H32" s="557"/>
      <c r="I32" s="548" t="str">
        <f t="shared" si="2"/>
        <v/>
      </c>
      <c r="J32" s="560" t="str">
        <f t="shared" si="3"/>
        <v/>
      </c>
      <c r="K32" s="33"/>
      <c r="L32" s="562"/>
      <c r="M32" s="549" t="str">
        <f t="shared" si="4"/>
        <v/>
      </c>
      <c r="N32" s="565" t="str">
        <f t="shared" si="5"/>
        <v/>
      </c>
      <c r="O32" s="618"/>
      <c r="P32" s="619"/>
      <c r="Q32" s="618">
        <f t="shared" si="6"/>
        <v>0</v>
      </c>
      <c r="R32" s="619">
        <f t="shared" si="7"/>
        <v>0</v>
      </c>
      <c r="S32" s="622"/>
      <c r="T32" s="622"/>
    </row>
    <row r="33" spans="1:23" ht="10.5" customHeight="1">
      <c r="A33" s="532"/>
      <c r="B33" s="24">
        <f t="shared" si="0"/>
        <v>0</v>
      </c>
      <c r="C33" s="24">
        <f t="shared" si="1"/>
        <v>0</v>
      </c>
      <c r="D33" s="554"/>
      <c r="E33" s="25"/>
      <c r="F33" s="557"/>
      <c r="G33" s="545"/>
      <c r="H33" s="557"/>
      <c r="I33" s="548" t="str">
        <f t="shared" si="2"/>
        <v/>
      </c>
      <c r="J33" s="560" t="str">
        <f t="shared" si="3"/>
        <v/>
      </c>
      <c r="K33" s="33"/>
      <c r="L33" s="562"/>
      <c r="M33" s="549" t="str">
        <f t="shared" si="4"/>
        <v/>
      </c>
      <c r="N33" s="565" t="str">
        <f t="shared" si="5"/>
        <v/>
      </c>
      <c r="O33" s="618"/>
      <c r="P33" s="619"/>
      <c r="Q33" s="618">
        <f t="shared" si="6"/>
        <v>0</v>
      </c>
      <c r="R33" s="619">
        <f t="shared" si="7"/>
        <v>0</v>
      </c>
      <c r="S33" s="622"/>
      <c r="T33" s="622"/>
    </row>
    <row r="34" spans="1:23" ht="10.5" customHeight="1">
      <c r="A34" s="532"/>
      <c r="B34" s="24">
        <f t="shared" si="0"/>
        <v>0</v>
      </c>
      <c r="C34" s="24">
        <f t="shared" si="1"/>
        <v>0</v>
      </c>
      <c r="D34" s="554"/>
      <c r="E34" s="25"/>
      <c r="F34" s="557"/>
      <c r="G34" s="545"/>
      <c r="H34" s="557"/>
      <c r="I34" s="548" t="str">
        <f t="shared" si="2"/>
        <v/>
      </c>
      <c r="J34" s="560" t="str">
        <f t="shared" si="3"/>
        <v/>
      </c>
      <c r="K34" s="33"/>
      <c r="L34" s="562"/>
      <c r="M34" s="549" t="str">
        <f t="shared" si="4"/>
        <v/>
      </c>
      <c r="N34" s="565" t="str">
        <f t="shared" si="5"/>
        <v/>
      </c>
      <c r="O34" s="618"/>
      <c r="P34" s="619"/>
      <c r="Q34" s="618">
        <f t="shared" si="6"/>
        <v>0</v>
      </c>
      <c r="R34" s="619">
        <f t="shared" si="7"/>
        <v>0</v>
      </c>
      <c r="S34" s="622"/>
      <c r="T34" s="622"/>
    </row>
    <row r="35" spans="1:23" ht="10.5" customHeight="1">
      <c r="A35" s="532"/>
      <c r="B35" s="24">
        <f t="shared" si="0"/>
        <v>0</v>
      </c>
      <c r="C35" s="24">
        <f t="shared" si="1"/>
        <v>0</v>
      </c>
      <c r="D35" s="554"/>
      <c r="E35" s="25"/>
      <c r="F35" s="557"/>
      <c r="G35" s="545"/>
      <c r="H35" s="557"/>
      <c r="I35" s="548" t="str">
        <f t="shared" si="2"/>
        <v/>
      </c>
      <c r="J35" s="560" t="str">
        <f t="shared" si="3"/>
        <v/>
      </c>
      <c r="K35" s="33"/>
      <c r="L35" s="562"/>
      <c r="M35" s="549" t="str">
        <f t="shared" si="4"/>
        <v/>
      </c>
      <c r="N35" s="565" t="str">
        <f t="shared" si="5"/>
        <v/>
      </c>
      <c r="O35" s="618"/>
      <c r="P35" s="619"/>
      <c r="Q35" s="618">
        <f t="shared" si="6"/>
        <v>0</v>
      </c>
      <c r="R35" s="619">
        <f t="shared" si="7"/>
        <v>0</v>
      </c>
      <c r="S35" s="622"/>
      <c r="T35" s="622"/>
    </row>
    <row r="36" spans="1:23" ht="10.5" customHeight="1">
      <c r="A36" s="532"/>
      <c r="B36" s="24">
        <f t="shared" si="0"/>
        <v>0</v>
      </c>
      <c r="C36" s="24">
        <f t="shared" si="1"/>
        <v>0</v>
      </c>
      <c r="D36" s="554"/>
      <c r="E36" s="25"/>
      <c r="F36" s="557"/>
      <c r="G36" s="545"/>
      <c r="H36" s="557"/>
      <c r="I36" s="548" t="str">
        <f t="shared" si="2"/>
        <v/>
      </c>
      <c r="J36" s="560" t="str">
        <f t="shared" si="3"/>
        <v/>
      </c>
      <c r="K36" s="33"/>
      <c r="L36" s="562"/>
      <c r="M36" s="549" t="str">
        <f t="shared" si="4"/>
        <v/>
      </c>
      <c r="N36" s="565" t="str">
        <f t="shared" si="5"/>
        <v/>
      </c>
      <c r="O36" s="618"/>
      <c r="P36" s="619"/>
      <c r="Q36" s="618">
        <f t="shared" si="6"/>
        <v>0</v>
      </c>
      <c r="R36" s="619">
        <f t="shared" si="7"/>
        <v>0</v>
      </c>
      <c r="S36" s="622"/>
      <c r="T36" s="622"/>
    </row>
    <row r="37" spans="1:23" ht="10.5" customHeight="1">
      <c r="A37" s="532"/>
      <c r="B37" s="24">
        <f t="shared" si="0"/>
        <v>0</v>
      </c>
      <c r="C37" s="24">
        <f t="shared" si="1"/>
        <v>0</v>
      </c>
      <c r="D37" s="554"/>
      <c r="E37" s="25"/>
      <c r="F37" s="557"/>
      <c r="G37" s="545"/>
      <c r="H37" s="557"/>
      <c r="I37" s="548" t="str">
        <f t="shared" si="2"/>
        <v/>
      </c>
      <c r="J37" s="560" t="str">
        <f t="shared" si="3"/>
        <v/>
      </c>
      <c r="K37" s="33"/>
      <c r="L37" s="562"/>
      <c r="M37" s="549" t="str">
        <f t="shared" si="4"/>
        <v/>
      </c>
      <c r="N37" s="565" t="str">
        <f t="shared" si="5"/>
        <v/>
      </c>
      <c r="O37" s="618"/>
      <c r="P37" s="619"/>
      <c r="Q37" s="618">
        <f t="shared" si="6"/>
        <v>0</v>
      </c>
      <c r="R37" s="619">
        <f t="shared" si="7"/>
        <v>0</v>
      </c>
      <c r="S37" s="622"/>
      <c r="T37" s="622"/>
    </row>
    <row r="38" spans="1:23" ht="10.5" customHeight="1">
      <c r="A38" s="532"/>
      <c r="B38" s="24">
        <f t="shared" si="0"/>
        <v>0</v>
      </c>
      <c r="C38" s="24">
        <f t="shared" si="1"/>
        <v>0</v>
      </c>
      <c r="D38" s="554"/>
      <c r="E38" s="25"/>
      <c r="F38" s="557"/>
      <c r="G38" s="545"/>
      <c r="H38" s="557"/>
      <c r="I38" s="548" t="str">
        <f t="shared" si="2"/>
        <v/>
      </c>
      <c r="J38" s="560" t="str">
        <f t="shared" si="3"/>
        <v/>
      </c>
      <c r="K38" s="33"/>
      <c r="L38" s="562"/>
      <c r="M38" s="549" t="str">
        <f t="shared" si="4"/>
        <v/>
      </c>
      <c r="N38" s="565" t="str">
        <f t="shared" si="5"/>
        <v/>
      </c>
      <c r="O38" s="618"/>
      <c r="P38" s="619"/>
      <c r="Q38" s="618">
        <f t="shared" si="6"/>
        <v>0</v>
      </c>
      <c r="R38" s="619">
        <f t="shared" si="7"/>
        <v>0</v>
      </c>
      <c r="S38" s="622"/>
      <c r="T38" s="622"/>
    </row>
    <row r="39" spans="1:23" ht="10.5" customHeight="1">
      <c r="A39" s="532"/>
      <c r="B39" s="24">
        <f t="shared" si="0"/>
        <v>0</v>
      </c>
      <c r="C39" s="24">
        <f t="shared" si="1"/>
        <v>0</v>
      </c>
      <c r="D39" s="554"/>
      <c r="E39" s="25"/>
      <c r="F39" s="557"/>
      <c r="G39" s="545"/>
      <c r="H39" s="557"/>
      <c r="I39" s="548" t="str">
        <f t="shared" si="2"/>
        <v/>
      </c>
      <c r="J39" s="560" t="str">
        <f t="shared" si="3"/>
        <v/>
      </c>
      <c r="K39" s="33"/>
      <c r="L39" s="562"/>
      <c r="M39" s="549" t="str">
        <f t="shared" si="4"/>
        <v/>
      </c>
      <c r="N39" s="565" t="str">
        <f t="shared" si="5"/>
        <v/>
      </c>
      <c r="O39" s="618"/>
      <c r="P39" s="619"/>
      <c r="Q39" s="618">
        <f t="shared" si="6"/>
        <v>0</v>
      </c>
      <c r="R39" s="619">
        <f t="shared" si="7"/>
        <v>0</v>
      </c>
      <c r="S39" s="622"/>
      <c r="T39" s="622"/>
    </row>
    <row r="40" spans="1:23" ht="10.5" customHeight="1">
      <c r="A40" s="532"/>
      <c r="B40" s="24">
        <f t="shared" si="0"/>
        <v>0</v>
      </c>
      <c r="C40" s="24">
        <f t="shared" si="1"/>
        <v>0</v>
      </c>
      <c r="D40" s="554"/>
      <c r="E40" s="25"/>
      <c r="F40" s="557"/>
      <c r="G40" s="545"/>
      <c r="H40" s="557"/>
      <c r="I40" s="548" t="str">
        <f t="shared" si="2"/>
        <v/>
      </c>
      <c r="J40" s="560" t="str">
        <f t="shared" si="3"/>
        <v/>
      </c>
      <c r="K40" s="33"/>
      <c r="L40" s="562"/>
      <c r="M40" s="549" t="str">
        <f t="shared" si="4"/>
        <v/>
      </c>
      <c r="N40" s="565" t="str">
        <f t="shared" si="5"/>
        <v/>
      </c>
      <c r="O40" s="618"/>
      <c r="P40" s="619"/>
      <c r="Q40" s="618">
        <f t="shared" si="6"/>
        <v>0</v>
      </c>
      <c r="R40" s="619">
        <f t="shared" si="7"/>
        <v>0</v>
      </c>
      <c r="S40" s="622"/>
      <c r="T40" s="622"/>
    </row>
    <row r="41" spans="1:23" ht="10.5" customHeight="1">
      <c r="A41" s="532"/>
      <c r="B41" s="24">
        <f t="shared" si="0"/>
        <v>0</v>
      </c>
      <c r="C41" s="24">
        <f t="shared" si="1"/>
        <v>0</v>
      </c>
      <c r="D41" s="554"/>
      <c r="E41" s="25"/>
      <c r="F41" s="557"/>
      <c r="G41" s="545"/>
      <c r="H41" s="557"/>
      <c r="I41" s="548" t="str">
        <f t="shared" si="2"/>
        <v/>
      </c>
      <c r="J41" s="560" t="str">
        <f t="shared" si="3"/>
        <v/>
      </c>
      <c r="K41" s="33"/>
      <c r="L41" s="562"/>
      <c r="M41" s="549" t="str">
        <f t="shared" si="4"/>
        <v/>
      </c>
      <c r="N41" s="565" t="str">
        <f t="shared" si="5"/>
        <v/>
      </c>
      <c r="O41" s="618"/>
      <c r="P41" s="619"/>
      <c r="Q41" s="618">
        <f t="shared" si="6"/>
        <v>0</v>
      </c>
      <c r="R41" s="619">
        <f t="shared" si="7"/>
        <v>0</v>
      </c>
      <c r="S41" s="622"/>
      <c r="T41" s="622"/>
    </row>
    <row r="42" spans="1:23" ht="10.5" customHeight="1">
      <c r="A42" s="532"/>
      <c r="B42" s="24">
        <f t="shared" si="0"/>
        <v>0</v>
      </c>
      <c r="C42" s="24">
        <f t="shared" si="1"/>
        <v>0</v>
      </c>
      <c r="D42" s="554"/>
      <c r="E42" s="25"/>
      <c r="F42" s="557"/>
      <c r="G42" s="545"/>
      <c r="H42" s="557"/>
      <c r="I42" s="548" t="str">
        <f t="shared" si="2"/>
        <v/>
      </c>
      <c r="J42" s="560" t="str">
        <f t="shared" si="3"/>
        <v/>
      </c>
      <c r="K42" s="33"/>
      <c r="L42" s="562"/>
      <c r="M42" s="549" t="str">
        <f t="shared" si="4"/>
        <v/>
      </c>
      <c r="N42" s="565" t="str">
        <f t="shared" si="5"/>
        <v/>
      </c>
      <c r="O42" s="618"/>
      <c r="P42" s="619"/>
      <c r="Q42" s="618">
        <f t="shared" si="6"/>
        <v>0</v>
      </c>
      <c r="R42" s="619">
        <f t="shared" si="7"/>
        <v>0</v>
      </c>
      <c r="S42" s="622"/>
      <c r="T42" s="622"/>
    </row>
    <row r="43" spans="1:23" ht="10.5" customHeight="1">
      <c r="A43" s="532"/>
      <c r="B43" s="24">
        <f t="shared" si="0"/>
        <v>0</v>
      </c>
      <c r="C43" s="24">
        <f t="shared" si="1"/>
        <v>0</v>
      </c>
      <c r="D43" s="554"/>
      <c r="E43" s="25"/>
      <c r="F43" s="557"/>
      <c r="G43" s="545"/>
      <c r="H43" s="557"/>
      <c r="I43" s="548" t="str">
        <f t="shared" si="2"/>
        <v/>
      </c>
      <c r="J43" s="560" t="str">
        <f t="shared" si="3"/>
        <v/>
      </c>
      <c r="K43" s="33"/>
      <c r="L43" s="562"/>
      <c r="M43" s="549" t="str">
        <f t="shared" si="4"/>
        <v/>
      </c>
      <c r="N43" s="565" t="str">
        <f t="shared" si="5"/>
        <v/>
      </c>
      <c r="O43" s="618"/>
      <c r="P43" s="619"/>
      <c r="Q43" s="618">
        <f t="shared" si="6"/>
        <v>0</v>
      </c>
      <c r="R43" s="619">
        <f t="shared" si="7"/>
        <v>0</v>
      </c>
      <c r="S43" s="622"/>
      <c r="T43" s="622"/>
    </row>
    <row r="44" spans="1:23" ht="10.5" customHeight="1">
      <c r="A44" s="532"/>
      <c r="B44" s="24">
        <f t="shared" si="0"/>
        <v>0</v>
      </c>
      <c r="C44" s="24">
        <f t="shared" si="1"/>
        <v>0</v>
      </c>
      <c r="D44" s="554"/>
      <c r="E44" s="25"/>
      <c r="F44" s="557"/>
      <c r="G44" s="545"/>
      <c r="H44" s="557"/>
      <c r="I44" s="548" t="str">
        <f t="shared" si="2"/>
        <v/>
      </c>
      <c r="J44" s="560" t="str">
        <f t="shared" si="3"/>
        <v/>
      </c>
      <c r="K44" s="33"/>
      <c r="L44" s="562"/>
      <c r="M44" s="549" t="str">
        <f t="shared" si="4"/>
        <v/>
      </c>
      <c r="N44" s="565" t="str">
        <f t="shared" si="5"/>
        <v/>
      </c>
      <c r="O44" s="618"/>
      <c r="P44" s="619"/>
      <c r="Q44" s="618">
        <f t="shared" si="6"/>
        <v>0</v>
      </c>
      <c r="R44" s="619">
        <f t="shared" si="7"/>
        <v>0</v>
      </c>
      <c r="S44" s="622"/>
      <c r="T44" s="622"/>
    </row>
    <row r="45" spans="1:23" ht="10.5" customHeight="1">
      <c r="A45" s="532"/>
      <c r="B45" s="24">
        <f t="shared" si="0"/>
        <v>0</v>
      </c>
      <c r="C45" s="24">
        <f t="shared" si="1"/>
        <v>0</v>
      </c>
      <c r="D45" s="554"/>
      <c r="E45" s="25"/>
      <c r="F45" s="557"/>
      <c r="G45" s="545"/>
      <c r="H45" s="557"/>
      <c r="I45" s="548" t="str">
        <f t="shared" si="2"/>
        <v/>
      </c>
      <c r="J45" s="560" t="str">
        <f t="shared" si="3"/>
        <v/>
      </c>
      <c r="K45" s="33"/>
      <c r="L45" s="562"/>
      <c r="M45" s="549" t="str">
        <f t="shared" si="4"/>
        <v/>
      </c>
      <c r="N45" s="565" t="str">
        <f t="shared" si="5"/>
        <v/>
      </c>
      <c r="O45" s="618"/>
      <c r="P45" s="619"/>
      <c r="Q45" s="618">
        <f t="shared" si="6"/>
        <v>0</v>
      </c>
      <c r="R45" s="619">
        <f t="shared" si="7"/>
        <v>0</v>
      </c>
      <c r="S45" s="622"/>
      <c r="T45" s="622"/>
      <c r="U45" s="623"/>
    </row>
    <row r="46" spans="1:23" ht="10.5" customHeight="1">
      <c r="A46" s="532"/>
      <c r="B46" s="24">
        <f t="shared" si="0"/>
        <v>0</v>
      </c>
      <c r="C46" s="24">
        <f t="shared" si="1"/>
        <v>0</v>
      </c>
      <c r="D46" s="554"/>
      <c r="E46" s="25"/>
      <c r="F46" s="557"/>
      <c r="G46" s="545"/>
      <c r="H46" s="557"/>
      <c r="I46" s="548" t="str">
        <f t="shared" si="2"/>
        <v/>
      </c>
      <c r="J46" s="560" t="str">
        <f t="shared" si="3"/>
        <v/>
      </c>
      <c r="K46" s="33"/>
      <c r="L46" s="562"/>
      <c r="M46" s="549" t="str">
        <f t="shared" si="4"/>
        <v/>
      </c>
      <c r="N46" s="565" t="str">
        <f t="shared" si="5"/>
        <v/>
      </c>
      <c r="O46" s="618"/>
      <c r="P46" s="619"/>
      <c r="Q46" s="618">
        <f t="shared" si="6"/>
        <v>0</v>
      </c>
      <c r="R46" s="619">
        <f t="shared" si="7"/>
        <v>0</v>
      </c>
      <c r="S46" s="622"/>
      <c r="T46" s="622"/>
      <c r="U46" s="623"/>
    </row>
    <row r="47" spans="1:23" ht="10.5" customHeight="1">
      <c r="A47" s="532"/>
      <c r="B47" s="24">
        <f t="shared" si="0"/>
        <v>0</v>
      </c>
      <c r="C47" s="24">
        <f t="shared" si="1"/>
        <v>0</v>
      </c>
      <c r="D47" s="554"/>
      <c r="E47" s="25"/>
      <c r="F47" s="557"/>
      <c r="G47" s="545"/>
      <c r="H47" s="557"/>
      <c r="I47" s="548" t="str">
        <f t="shared" si="2"/>
        <v/>
      </c>
      <c r="J47" s="560" t="str">
        <f t="shared" si="3"/>
        <v/>
      </c>
      <c r="K47" s="33"/>
      <c r="L47" s="562"/>
      <c r="M47" s="549" t="str">
        <f t="shared" si="4"/>
        <v/>
      </c>
      <c r="N47" s="565" t="str">
        <f t="shared" si="5"/>
        <v/>
      </c>
      <c r="O47" s="618"/>
      <c r="P47" s="619"/>
      <c r="Q47" s="618">
        <f t="shared" si="6"/>
        <v>0</v>
      </c>
      <c r="R47" s="619">
        <f t="shared" si="7"/>
        <v>0</v>
      </c>
      <c r="S47" s="622"/>
      <c r="T47" s="622"/>
      <c r="U47" s="623"/>
    </row>
    <row r="48" spans="1:23" ht="10.5" customHeight="1">
      <c r="A48" s="532"/>
      <c r="B48" s="24">
        <f t="shared" si="0"/>
        <v>0</v>
      </c>
      <c r="C48" s="24">
        <f t="shared" si="1"/>
        <v>0</v>
      </c>
      <c r="D48" s="554"/>
      <c r="E48" s="25"/>
      <c r="F48" s="557"/>
      <c r="G48" s="545"/>
      <c r="H48" s="557"/>
      <c r="I48" s="548" t="str">
        <f t="shared" si="2"/>
        <v/>
      </c>
      <c r="J48" s="560" t="str">
        <f t="shared" si="3"/>
        <v/>
      </c>
      <c r="K48" s="33"/>
      <c r="L48" s="562"/>
      <c r="M48" s="549" t="str">
        <f t="shared" si="4"/>
        <v/>
      </c>
      <c r="N48" s="565" t="str">
        <f t="shared" si="5"/>
        <v/>
      </c>
      <c r="O48" s="618"/>
      <c r="P48" s="619"/>
      <c r="Q48" s="618">
        <f t="shared" si="6"/>
        <v>0</v>
      </c>
      <c r="R48" s="619">
        <f t="shared" si="7"/>
        <v>0</v>
      </c>
      <c r="S48" s="622"/>
      <c r="T48" s="622"/>
      <c r="U48" s="623"/>
      <c r="W48" s="624"/>
    </row>
    <row r="49" spans="1:21" ht="10.5" customHeight="1">
      <c r="A49" s="532"/>
      <c r="B49" s="24">
        <f t="shared" si="0"/>
        <v>0</v>
      </c>
      <c r="C49" s="24">
        <f t="shared" si="1"/>
        <v>0</v>
      </c>
      <c r="D49" s="554"/>
      <c r="E49" s="25"/>
      <c r="F49" s="557"/>
      <c r="G49" s="545"/>
      <c r="H49" s="557"/>
      <c r="I49" s="548" t="str">
        <f t="shared" si="2"/>
        <v/>
      </c>
      <c r="J49" s="560" t="str">
        <f t="shared" si="3"/>
        <v/>
      </c>
      <c r="K49" s="33"/>
      <c r="L49" s="562"/>
      <c r="M49" s="549" t="str">
        <f t="shared" si="4"/>
        <v/>
      </c>
      <c r="N49" s="565" t="str">
        <f t="shared" si="5"/>
        <v/>
      </c>
      <c r="O49" s="618"/>
      <c r="P49" s="619"/>
      <c r="Q49" s="618">
        <f t="shared" si="6"/>
        <v>0</v>
      </c>
      <c r="R49" s="619">
        <f t="shared" si="7"/>
        <v>0</v>
      </c>
      <c r="S49" s="622"/>
      <c r="T49" s="622"/>
      <c r="U49" s="623"/>
    </row>
    <row r="50" spans="1:21" ht="10.5" customHeight="1">
      <c r="A50" s="532"/>
      <c r="B50" s="24">
        <f t="shared" si="0"/>
        <v>0</v>
      </c>
      <c r="C50" s="24">
        <f t="shared" si="1"/>
        <v>0</v>
      </c>
      <c r="D50" s="554"/>
      <c r="E50" s="25"/>
      <c r="F50" s="557"/>
      <c r="G50" s="545"/>
      <c r="H50" s="557"/>
      <c r="I50" s="548" t="str">
        <f t="shared" si="2"/>
        <v/>
      </c>
      <c r="J50" s="560" t="str">
        <f t="shared" si="3"/>
        <v/>
      </c>
      <c r="K50" s="33"/>
      <c r="L50" s="562"/>
      <c r="M50" s="549" t="str">
        <f t="shared" si="4"/>
        <v/>
      </c>
      <c r="N50" s="565" t="str">
        <f t="shared" si="5"/>
        <v/>
      </c>
      <c r="O50" s="618"/>
      <c r="P50" s="619"/>
      <c r="Q50" s="618">
        <f t="shared" si="6"/>
        <v>0</v>
      </c>
      <c r="R50" s="619">
        <f t="shared" si="7"/>
        <v>0</v>
      </c>
      <c r="S50" s="622"/>
      <c r="T50" s="622"/>
      <c r="U50" s="623"/>
    </row>
    <row r="51" spans="1:21" ht="10.5" customHeight="1">
      <c r="A51" s="532"/>
      <c r="B51" s="24">
        <f t="shared" si="0"/>
        <v>0</v>
      </c>
      <c r="C51" s="24">
        <f t="shared" si="1"/>
        <v>0</v>
      </c>
      <c r="D51" s="554"/>
      <c r="E51" s="25"/>
      <c r="F51" s="557"/>
      <c r="G51" s="545"/>
      <c r="H51" s="557"/>
      <c r="I51" s="548" t="str">
        <f t="shared" si="2"/>
        <v/>
      </c>
      <c r="J51" s="560" t="str">
        <f t="shared" si="3"/>
        <v/>
      </c>
      <c r="K51" s="33"/>
      <c r="L51" s="562"/>
      <c r="M51" s="549" t="str">
        <f t="shared" si="4"/>
        <v/>
      </c>
      <c r="N51" s="565" t="str">
        <f t="shared" si="5"/>
        <v/>
      </c>
      <c r="O51" s="618"/>
      <c r="P51" s="619"/>
      <c r="Q51" s="618">
        <f t="shared" si="6"/>
        <v>0</v>
      </c>
      <c r="R51" s="619">
        <f t="shared" si="7"/>
        <v>0</v>
      </c>
      <c r="S51" s="622"/>
      <c r="T51" s="622"/>
      <c r="U51" s="623"/>
    </row>
    <row r="52" spans="1:21" ht="10.5" customHeight="1">
      <c r="A52" s="532"/>
      <c r="B52" s="24">
        <f t="shared" si="0"/>
        <v>0</v>
      </c>
      <c r="C52" s="24">
        <f t="shared" si="1"/>
        <v>0</v>
      </c>
      <c r="D52" s="554"/>
      <c r="E52" s="25"/>
      <c r="F52" s="557"/>
      <c r="G52" s="545"/>
      <c r="H52" s="557"/>
      <c r="I52" s="548" t="str">
        <f t="shared" si="2"/>
        <v/>
      </c>
      <c r="J52" s="560" t="str">
        <f t="shared" si="3"/>
        <v/>
      </c>
      <c r="K52" s="33"/>
      <c r="L52" s="562"/>
      <c r="M52" s="549" t="str">
        <f t="shared" si="4"/>
        <v/>
      </c>
      <c r="N52" s="565" t="str">
        <f t="shared" si="5"/>
        <v/>
      </c>
      <c r="O52" s="618"/>
      <c r="P52" s="619"/>
      <c r="Q52" s="618">
        <f t="shared" si="6"/>
        <v>0</v>
      </c>
      <c r="R52" s="619">
        <f t="shared" si="7"/>
        <v>0</v>
      </c>
      <c r="S52" s="622"/>
      <c r="T52" s="622"/>
      <c r="U52" s="623"/>
    </row>
    <row r="53" spans="1:21" ht="10.5" customHeight="1">
      <c r="A53" s="532"/>
      <c r="B53" s="24">
        <f t="shared" si="0"/>
        <v>0</v>
      </c>
      <c r="C53" s="24">
        <f t="shared" si="1"/>
        <v>0</v>
      </c>
      <c r="D53" s="554"/>
      <c r="E53" s="25"/>
      <c r="F53" s="557"/>
      <c r="G53" s="545"/>
      <c r="H53" s="557"/>
      <c r="I53" s="548" t="str">
        <f t="shared" si="2"/>
        <v/>
      </c>
      <c r="J53" s="560" t="str">
        <f t="shared" si="3"/>
        <v/>
      </c>
      <c r="K53" s="33"/>
      <c r="L53" s="562"/>
      <c r="M53" s="549" t="str">
        <f t="shared" si="4"/>
        <v/>
      </c>
      <c r="N53" s="565" t="str">
        <f t="shared" si="5"/>
        <v/>
      </c>
      <c r="O53" s="618"/>
      <c r="P53" s="619"/>
      <c r="Q53" s="618">
        <f t="shared" si="6"/>
        <v>0</v>
      </c>
      <c r="R53" s="619">
        <f t="shared" si="7"/>
        <v>0</v>
      </c>
      <c r="S53" s="622"/>
      <c r="T53" s="622"/>
      <c r="U53" s="623"/>
    </row>
    <row r="54" spans="1:21" ht="10.5" customHeight="1">
      <c r="A54" s="532"/>
      <c r="B54" s="24">
        <f t="shared" si="0"/>
        <v>0</v>
      </c>
      <c r="C54" s="24">
        <f t="shared" si="1"/>
        <v>0</v>
      </c>
      <c r="D54" s="554"/>
      <c r="E54" s="25"/>
      <c r="F54" s="557"/>
      <c r="G54" s="545"/>
      <c r="H54" s="557"/>
      <c r="I54" s="548" t="str">
        <f t="shared" si="2"/>
        <v/>
      </c>
      <c r="J54" s="560" t="str">
        <f t="shared" si="3"/>
        <v/>
      </c>
      <c r="K54" s="33"/>
      <c r="L54" s="562"/>
      <c r="M54" s="549" t="str">
        <f t="shared" si="4"/>
        <v/>
      </c>
      <c r="N54" s="565" t="str">
        <f t="shared" si="5"/>
        <v/>
      </c>
      <c r="O54" s="618"/>
      <c r="P54" s="619"/>
      <c r="Q54" s="618">
        <f t="shared" si="6"/>
        <v>0</v>
      </c>
      <c r="R54" s="619">
        <f t="shared" si="7"/>
        <v>0</v>
      </c>
      <c r="S54" s="622"/>
      <c r="T54" s="622"/>
      <c r="U54" s="623"/>
    </row>
    <row r="55" spans="1:21" ht="10.5" customHeight="1">
      <c r="A55" s="532"/>
      <c r="B55" s="24">
        <f t="shared" si="0"/>
        <v>0</v>
      </c>
      <c r="C55" s="24">
        <f t="shared" si="1"/>
        <v>0</v>
      </c>
      <c r="D55" s="554"/>
      <c r="E55" s="25"/>
      <c r="F55" s="557"/>
      <c r="G55" s="545"/>
      <c r="H55" s="557"/>
      <c r="I55" s="548" t="str">
        <f t="shared" si="2"/>
        <v/>
      </c>
      <c r="J55" s="560" t="str">
        <f t="shared" si="3"/>
        <v/>
      </c>
      <c r="K55" s="33"/>
      <c r="L55" s="562"/>
      <c r="M55" s="549" t="str">
        <f t="shared" si="4"/>
        <v/>
      </c>
      <c r="N55" s="565" t="str">
        <f t="shared" si="5"/>
        <v/>
      </c>
      <c r="O55" s="618"/>
      <c r="P55" s="619"/>
      <c r="Q55" s="618">
        <f t="shared" si="6"/>
        <v>0</v>
      </c>
      <c r="R55" s="619">
        <f t="shared" si="7"/>
        <v>0</v>
      </c>
      <c r="S55" s="622"/>
    </row>
    <row r="56" spans="1:21" ht="10.5" customHeight="1">
      <c r="A56" s="532"/>
      <c r="B56" s="24">
        <f t="shared" si="0"/>
        <v>0</v>
      </c>
      <c r="C56" s="24">
        <f t="shared" si="1"/>
        <v>0</v>
      </c>
      <c r="D56" s="554"/>
      <c r="E56" s="25"/>
      <c r="F56" s="557"/>
      <c r="G56" s="545"/>
      <c r="H56" s="557"/>
      <c r="I56" s="548" t="str">
        <f t="shared" si="2"/>
        <v/>
      </c>
      <c r="J56" s="560" t="str">
        <f t="shared" si="3"/>
        <v/>
      </c>
      <c r="K56" s="33"/>
      <c r="L56" s="562"/>
      <c r="M56" s="549" t="str">
        <f t="shared" si="4"/>
        <v/>
      </c>
      <c r="N56" s="565" t="str">
        <f t="shared" si="5"/>
        <v/>
      </c>
      <c r="O56" s="618"/>
      <c r="P56" s="619"/>
      <c r="Q56" s="618">
        <f t="shared" si="6"/>
        <v>0</v>
      </c>
      <c r="R56" s="619">
        <f t="shared" si="7"/>
        <v>0</v>
      </c>
      <c r="S56" s="622"/>
    </row>
    <row r="57" spans="1:21" ht="10.5" customHeight="1">
      <c r="A57" s="532"/>
      <c r="B57" s="24">
        <f t="shared" si="0"/>
        <v>0</v>
      </c>
      <c r="C57" s="24">
        <f t="shared" si="1"/>
        <v>0</v>
      </c>
      <c r="D57" s="554"/>
      <c r="E57" s="25"/>
      <c r="F57" s="557"/>
      <c r="G57" s="545"/>
      <c r="H57" s="557"/>
      <c r="I57" s="548" t="str">
        <f t="shared" si="2"/>
        <v/>
      </c>
      <c r="J57" s="560" t="str">
        <f t="shared" si="3"/>
        <v/>
      </c>
      <c r="K57" s="33"/>
      <c r="L57" s="562"/>
      <c r="M57" s="549" t="str">
        <f t="shared" si="4"/>
        <v/>
      </c>
      <c r="N57" s="565" t="str">
        <f t="shared" si="5"/>
        <v/>
      </c>
      <c r="O57" s="618"/>
      <c r="P57" s="619"/>
      <c r="Q57" s="618">
        <f t="shared" si="6"/>
        <v>0</v>
      </c>
      <c r="R57" s="619">
        <f t="shared" si="7"/>
        <v>0</v>
      </c>
      <c r="S57" s="622"/>
    </row>
    <row r="58" spans="1:21" ht="10.5" customHeight="1">
      <c r="A58" s="532"/>
      <c r="B58" s="24">
        <f t="shared" si="0"/>
        <v>0</v>
      </c>
      <c r="C58" s="24">
        <f t="shared" si="1"/>
        <v>0</v>
      </c>
      <c r="D58" s="554"/>
      <c r="E58" s="25"/>
      <c r="F58" s="557"/>
      <c r="G58" s="545"/>
      <c r="H58" s="557"/>
      <c r="I58" s="548" t="str">
        <f t="shared" si="2"/>
        <v/>
      </c>
      <c r="J58" s="560" t="str">
        <f t="shared" si="3"/>
        <v/>
      </c>
      <c r="K58" s="33"/>
      <c r="L58" s="562"/>
      <c r="M58" s="549" t="str">
        <f t="shared" si="4"/>
        <v/>
      </c>
      <c r="N58" s="565" t="str">
        <f t="shared" si="5"/>
        <v/>
      </c>
      <c r="O58" s="618"/>
      <c r="P58" s="619"/>
      <c r="Q58" s="618">
        <f t="shared" si="6"/>
        <v>0</v>
      </c>
      <c r="R58" s="619">
        <f t="shared" si="7"/>
        <v>0</v>
      </c>
      <c r="S58" s="622"/>
    </row>
    <row r="59" spans="1:21" ht="9.75" customHeight="1">
      <c r="A59" s="532"/>
      <c r="B59" s="24">
        <f t="shared" si="0"/>
        <v>0</v>
      </c>
      <c r="C59" s="24">
        <f t="shared" si="1"/>
        <v>0</v>
      </c>
      <c r="D59" s="554"/>
      <c r="E59" s="25"/>
      <c r="F59" s="557"/>
      <c r="G59" s="545"/>
      <c r="H59" s="557"/>
      <c r="I59" s="548" t="str">
        <f t="shared" si="2"/>
        <v/>
      </c>
      <c r="J59" s="560" t="str">
        <f t="shared" si="3"/>
        <v/>
      </c>
      <c r="K59" s="33"/>
      <c r="L59" s="562"/>
      <c r="M59" s="549" t="str">
        <f t="shared" si="4"/>
        <v/>
      </c>
      <c r="N59" s="565" t="str">
        <f t="shared" si="5"/>
        <v/>
      </c>
      <c r="O59" s="618"/>
      <c r="P59" s="619"/>
      <c r="Q59" s="618">
        <f t="shared" si="6"/>
        <v>0</v>
      </c>
      <c r="R59" s="619">
        <f t="shared" si="7"/>
        <v>0</v>
      </c>
      <c r="S59" s="622"/>
    </row>
    <row r="60" spans="1:21" ht="10.5" customHeight="1">
      <c r="A60" s="532"/>
      <c r="B60" s="24">
        <f t="shared" si="0"/>
        <v>0</v>
      </c>
      <c r="C60" s="24">
        <f t="shared" si="1"/>
        <v>0</v>
      </c>
      <c r="D60" s="554"/>
      <c r="E60" s="25"/>
      <c r="F60" s="557"/>
      <c r="G60" s="545"/>
      <c r="H60" s="557"/>
      <c r="I60" s="548" t="str">
        <f t="shared" si="2"/>
        <v/>
      </c>
      <c r="J60" s="560" t="str">
        <f t="shared" si="3"/>
        <v/>
      </c>
      <c r="K60" s="33"/>
      <c r="L60" s="562"/>
      <c r="M60" s="549" t="str">
        <f t="shared" si="4"/>
        <v/>
      </c>
      <c r="N60" s="565" t="str">
        <f t="shared" si="5"/>
        <v/>
      </c>
      <c r="O60" s="618"/>
      <c r="P60" s="619"/>
      <c r="Q60" s="618">
        <f t="shared" si="6"/>
        <v>0</v>
      </c>
      <c r="R60" s="619">
        <f t="shared" si="7"/>
        <v>0</v>
      </c>
      <c r="S60" s="622"/>
    </row>
    <row r="61" spans="1:21" ht="10.5" customHeight="1" thickBot="1">
      <c r="A61" s="532"/>
      <c r="B61" s="24">
        <f t="shared" si="0"/>
        <v>0</v>
      </c>
      <c r="C61" s="24">
        <f t="shared" si="1"/>
        <v>0</v>
      </c>
      <c r="D61" s="555"/>
      <c r="E61" s="34"/>
      <c r="F61" s="558"/>
      <c r="G61" s="550"/>
      <c r="H61" s="558"/>
      <c r="I61" s="551" t="str">
        <f t="shared" si="2"/>
        <v/>
      </c>
      <c r="J61" s="561" t="str">
        <f t="shared" si="3"/>
        <v/>
      </c>
      <c r="K61" s="526"/>
      <c r="L61" s="563"/>
      <c r="M61" s="552" t="str">
        <f>IFERROR(K61/E61,"")</f>
        <v/>
      </c>
      <c r="N61" s="566" t="str">
        <f t="shared" si="5"/>
        <v/>
      </c>
      <c r="O61" s="620"/>
      <c r="P61" s="621"/>
      <c r="Q61" s="618">
        <f>E61-O61</f>
        <v>0</v>
      </c>
      <c r="R61" s="619">
        <f t="shared" si="7"/>
        <v>0</v>
      </c>
    </row>
    <row r="62" spans="1:21" ht="10.5" customHeight="1">
      <c r="A62" s="533"/>
      <c r="B62" s="534"/>
      <c r="C62" s="534"/>
      <c r="D62" s="535"/>
      <c r="E62" s="535"/>
      <c r="F62" s="535"/>
      <c r="G62" s="535"/>
      <c r="H62" s="534"/>
      <c r="I62" s="536"/>
      <c r="J62" s="534"/>
      <c r="K62" s="534"/>
      <c r="L62" s="534"/>
      <c r="M62" s="537"/>
      <c r="N62" s="538"/>
      <c r="O62" s="534"/>
      <c r="P62" s="534"/>
      <c r="Q62" s="534"/>
      <c r="R62" s="534"/>
    </row>
    <row r="63" spans="1:21" ht="10.5" customHeight="1">
      <c r="A63" s="533"/>
      <c r="B63" s="534"/>
      <c r="C63" s="534"/>
      <c r="D63" s="861"/>
      <c r="E63" s="861"/>
      <c r="F63" s="861"/>
      <c r="G63" s="535"/>
      <c r="H63" s="534"/>
      <c r="I63" s="536"/>
      <c r="J63" s="534"/>
      <c r="K63" s="534"/>
      <c r="L63" s="534"/>
      <c r="M63" s="537"/>
      <c r="N63" s="538"/>
      <c r="O63" s="534"/>
      <c r="P63" s="534"/>
      <c r="Q63" s="534"/>
      <c r="R63" s="534"/>
    </row>
    <row r="64" spans="1:21" ht="10.5" customHeight="1">
      <c r="A64" s="533"/>
      <c r="B64" s="534"/>
      <c r="C64" s="534"/>
      <c r="D64" s="535"/>
      <c r="E64" s="535"/>
      <c r="F64" s="535"/>
      <c r="G64" s="535"/>
      <c r="H64" s="534"/>
      <c r="I64" s="536"/>
      <c r="J64" s="534"/>
      <c r="K64" s="534"/>
      <c r="L64" s="534"/>
      <c r="M64" s="537"/>
      <c r="N64" s="538"/>
      <c r="O64" s="534"/>
      <c r="P64" s="534"/>
      <c r="Q64" s="534"/>
      <c r="R64" s="534"/>
    </row>
    <row r="65" spans="1:18" ht="10.5" customHeight="1">
      <c r="A65" s="533"/>
      <c r="B65" s="534"/>
      <c r="C65" s="534"/>
      <c r="D65" s="535"/>
      <c r="E65" s="535"/>
      <c r="F65" s="535"/>
      <c r="G65" s="535"/>
      <c r="H65" s="534"/>
      <c r="I65" s="536"/>
      <c r="J65" s="534"/>
      <c r="K65" s="534"/>
      <c r="L65" s="534"/>
      <c r="M65" s="537"/>
      <c r="N65" s="538"/>
      <c r="O65" s="534"/>
      <c r="P65" s="534"/>
      <c r="Q65" s="534"/>
      <c r="R65" s="534"/>
    </row>
    <row r="66" spans="1:18" ht="10.5" customHeight="1">
      <c r="A66" s="533"/>
      <c r="B66" s="534"/>
      <c r="C66" s="534"/>
      <c r="D66" s="535"/>
      <c r="E66" s="535"/>
      <c r="F66" s="535"/>
      <c r="G66" s="535"/>
      <c r="H66" s="534"/>
      <c r="I66" s="536"/>
      <c r="J66" s="534"/>
      <c r="K66" s="534"/>
      <c r="L66" s="534"/>
      <c r="M66" s="537"/>
      <c r="N66" s="538"/>
      <c r="O66" s="534"/>
      <c r="P66" s="534"/>
      <c r="Q66" s="534"/>
      <c r="R66" s="534"/>
    </row>
    <row r="67" spans="1:18" ht="10.5" customHeight="1">
      <c r="A67" s="533"/>
      <c r="B67" s="534"/>
      <c r="C67" s="534"/>
      <c r="D67" s="535"/>
      <c r="E67" s="535"/>
      <c r="F67" s="535"/>
      <c r="G67" s="535"/>
      <c r="H67" s="534"/>
      <c r="I67" s="536"/>
      <c r="J67" s="534"/>
      <c r="K67" s="534"/>
      <c r="L67" s="534"/>
      <c r="M67" s="537"/>
      <c r="N67" s="538"/>
      <c r="O67" s="534"/>
      <c r="P67" s="534"/>
      <c r="Q67" s="534"/>
      <c r="R67" s="534"/>
    </row>
    <row r="68" spans="1:18" ht="10.5" customHeight="1">
      <c r="A68" s="533"/>
      <c r="B68" s="534"/>
      <c r="C68" s="534"/>
      <c r="D68" s="535"/>
      <c r="E68" s="535"/>
      <c r="F68" s="535"/>
      <c r="G68" s="535"/>
      <c r="H68" s="534"/>
      <c r="I68" s="536"/>
      <c r="J68" s="534"/>
      <c r="K68" s="534"/>
      <c r="L68" s="534"/>
      <c r="M68" s="537"/>
      <c r="N68" s="538"/>
      <c r="O68" s="534"/>
      <c r="P68" s="534"/>
      <c r="Q68" s="534"/>
      <c r="R68" s="534"/>
    </row>
    <row r="69" spans="1:18" ht="10.5" customHeight="1">
      <c r="A69" s="533"/>
      <c r="B69" s="534"/>
      <c r="C69" s="534"/>
      <c r="D69" s="535"/>
      <c r="E69" s="535"/>
      <c r="F69" s="535"/>
      <c r="G69" s="535"/>
      <c r="H69" s="534"/>
      <c r="I69" s="536"/>
      <c r="J69" s="534"/>
      <c r="K69" s="534"/>
      <c r="L69" s="534"/>
      <c r="M69" s="537"/>
      <c r="N69" s="538"/>
      <c r="O69" s="534"/>
      <c r="P69" s="534"/>
      <c r="Q69" s="534"/>
      <c r="R69" s="534"/>
    </row>
    <row r="70" spans="1:18" ht="10.5" customHeight="1">
      <c r="A70" s="533"/>
      <c r="B70" s="534"/>
      <c r="C70" s="534"/>
      <c r="D70" s="535"/>
      <c r="E70" s="535"/>
      <c r="F70" s="535"/>
      <c r="G70" s="535"/>
      <c r="H70" s="534"/>
      <c r="I70" s="536"/>
      <c r="J70" s="534"/>
      <c r="K70" s="534"/>
      <c r="L70" s="534"/>
      <c r="M70" s="537"/>
      <c r="N70" s="538"/>
      <c r="O70" s="534"/>
      <c r="P70" s="534"/>
      <c r="Q70" s="534"/>
      <c r="R70" s="534"/>
    </row>
    <row r="71" spans="1:18" ht="10.5" customHeight="1">
      <c r="A71" s="533"/>
      <c r="B71" s="534"/>
      <c r="C71" s="534"/>
      <c r="D71" s="535"/>
      <c r="E71" s="535"/>
      <c r="F71" s="535"/>
      <c r="G71" s="535"/>
      <c r="H71" s="534"/>
      <c r="I71" s="536"/>
      <c r="J71" s="534"/>
      <c r="K71" s="534"/>
      <c r="L71" s="534"/>
      <c r="M71" s="537"/>
      <c r="N71" s="538"/>
      <c r="O71" s="534"/>
      <c r="P71" s="534"/>
      <c r="Q71" s="534"/>
      <c r="R71" s="534"/>
    </row>
    <row r="72" spans="1:18" ht="10.5" customHeight="1">
      <c r="A72" s="533"/>
      <c r="B72" s="534"/>
      <c r="C72" s="534"/>
      <c r="D72" s="535"/>
      <c r="E72" s="535"/>
      <c r="F72" s="535"/>
      <c r="G72" s="535"/>
      <c r="H72" s="534"/>
      <c r="I72" s="536"/>
      <c r="J72" s="534"/>
      <c r="K72" s="534"/>
      <c r="L72" s="534"/>
      <c r="M72" s="537"/>
      <c r="N72" s="538"/>
      <c r="O72" s="534"/>
      <c r="P72" s="534"/>
      <c r="Q72" s="534"/>
      <c r="R72" s="534"/>
    </row>
    <row r="73" spans="1:18" ht="10.5" customHeight="1">
      <c r="A73" s="533"/>
      <c r="B73" s="534"/>
      <c r="C73" s="534"/>
      <c r="D73" s="535"/>
      <c r="E73" s="535"/>
      <c r="F73" s="535"/>
      <c r="G73" s="535"/>
      <c r="H73" s="534"/>
      <c r="I73" s="536"/>
      <c r="J73" s="534"/>
      <c r="K73" s="534"/>
      <c r="L73" s="534"/>
      <c r="M73" s="537"/>
      <c r="N73" s="538"/>
      <c r="O73" s="534"/>
      <c r="P73" s="534"/>
      <c r="Q73" s="534"/>
      <c r="R73" s="534"/>
    </row>
    <row r="74" spans="1:18" ht="10.5" customHeight="1">
      <c r="A74" s="533"/>
      <c r="B74" s="534"/>
      <c r="C74" s="534"/>
      <c r="D74" s="535"/>
      <c r="E74" s="535"/>
      <c r="F74" s="535"/>
      <c r="G74" s="535"/>
      <c r="H74" s="534"/>
      <c r="I74" s="536"/>
      <c r="J74" s="534"/>
      <c r="K74" s="534"/>
      <c r="L74" s="534"/>
      <c r="M74" s="537"/>
      <c r="N74" s="538"/>
      <c r="O74" s="534"/>
      <c r="P74" s="534"/>
      <c r="Q74" s="534"/>
      <c r="R74" s="534"/>
    </row>
    <row r="75" spans="1:18" ht="10.5" customHeight="1">
      <c r="A75" s="533"/>
      <c r="B75" s="534"/>
      <c r="C75" s="534"/>
      <c r="D75" s="535"/>
      <c r="E75" s="535"/>
      <c r="F75" s="535"/>
      <c r="G75" s="535"/>
      <c r="H75" s="534"/>
      <c r="I75" s="536"/>
      <c r="J75" s="534"/>
      <c r="K75" s="534"/>
      <c r="L75" s="534"/>
      <c r="M75" s="537"/>
      <c r="N75" s="538"/>
      <c r="O75" s="534"/>
      <c r="P75" s="534"/>
      <c r="Q75" s="534"/>
      <c r="R75" s="534"/>
    </row>
    <row r="76" spans="1:18" ht="10.5" customHeight="1">
      <c r="A76" s="533"/>
      <c r="B76" s="534"/>
      <c r="C76" s="534"/>
      <c r="D76" s="535"/>
      <c r="E76" s="535"/>
      <c r="F76" s="535"/>
      <c r="G76" s="535"/>
      <c r="H76" s="534"/>
      <c r="I76" s="536"/>
      <c r="J76" s="534"/>
      <c r="K76" s="534"/>
      <c r="L76" s="534"/>
      <c r="M76" s="537"/>
      <c r="N76" s="538"/>
      <c r="O76" s="534"/>
      <c r="P76" s="534"/>
      <c r="Q76" s="534"/>
      <c r="R76" s="534"/>
    </row>
    <row r="77" spans="1:18" ht="10.5" customHeight="1">
      <c r="A77" s="533"/>
      <c r="B77" s="534"/>
      <c r="C77" s="534"/>
      <c r="D77" s="535"/>
      <c r="E77" s="535"/>
      <c r="F77" s="535"/>
      <c r="G77" s="535"/>
      <c r="H77" s="534"/>
      <c r="I77" s="536"/>
      <c r="J77" s="534"/>
      <c r="K77" s="534"/>
      <c r="L77" s="534"/>
      <c r="M77" s="537"/>
      <c r="N77" s="538"/>
      <c r="O77" s="534"/>
      <c r="P77" s="534"/>
      <c r="Q77" s="534"/>
      <c r="R77" s="534"/>
    </row>
    <row r="78" spans="1:18" ht="10.5" customHeight="1" thickBot="1">
      <c r="A78" s="539"/>
      <c r="B78" s="540"/>
      <c r="C78" s="540"/>
      <c r="D78" s="541"/>
      <c r="E78" s="541"/>
      <c r="F78" s="541"/>
      <c r="G78" s="541"/>
      <c r="H78" s="540"/>
      <c r="I78" s="542"/>
      <c r="J78" s="540"/>
      <c r="K78" s="540"/>
      <c r="L78" s="540"/>
      <c r="M78" s="543"/>
      <c r="N78" s="544"/>
      <c r="O78" s="540"/>
      <c r="P78" s="540"/>
      <c r="Q78" s="540"/>
      <c r="R78" s="540"/>
    </row>
  </sheetData>
  <sheetProtection sheet="1" objects="1" scenarios="1"/>
  <dataConsolidate/>
  <mergeCells count="16">
    <mergeCell ref="O4:P4"/>
    <mergeCell ref="O6:O7"/>
    <mergeCell ref="D2:P3"/>
    <mergeCell ref="Q4:R4"/>
    <mergeCell ref="Q6:Q7"/>
    <mergeCell ref="D63:F63"/>
    <mergeCell ref="D4:F4"/>
    <mergeCell ref="M6:M7"/>
    <mergeCell ref="E6:E7"/>
    <mergeCell ref="G6:G7"/>
    <mergeCell ref="I6:I7"/>
    <mergeCell ref="K6:K7"/>
    <mergeCell ref="G4:H4"/>
    <mergeCell ref="I4:J4"/>
    <mergeCell ref="K4:L4"/>
    <mergeCell ref="M4:N4"/>
  </mergeCells>
  <printOptions horizontalCentered="1"/>
  <pageMargins left="0.15748031496062992" right="0.15748031496062992" top="0.31496062992125984" bottom="0.15748031496062992" header="0.31496062992125984" footer="0.15748031496062992"/>
  <pageSetup paperSize="9" scale="79" orientation="portrait" r:id="rId1"/>
  <headerFooter>
    <oddFooter>&amp;L&amp;1#&amp;"Calibri"&amp;8 Classification: Open</oddFooter>
  </headerFooter>
  <rowBreaks count="1" manualBreakCount="1">
    <brk id="61" max="17"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tabColor theme="5" tint="-0.249977111117893"/>
  </sheetPr>
  <dimension ref="A1:V61"/>
  <sheetViews>
    <sheetView zoomScaleNormal="100" workbookViewId="0">
      <selection activeCell="I26" sqref="I26"/>
    </sheetView>
  </sheetViews>
  <sheetFormatPr baseColWidth="10" defaultColWidth="11.42578125" defaultRowHeight="12" customHeight="1"/>
  <cols>
    <col min="1" max="1" width="3.42578125" bestFit="1" customWidth="1"/>
    <col min="2" max="2" width="7" hidden="1" customWidth="1"/>
    <col min="3" max="3" width="1.85546875" hidden="1" customWidth="1"/>
    <col min="4" max="6" width="10.140625" bestFit="1" customWidth="1"/>
    <col min="7" max="7" width="8.85546875" bestFit="1" customWidth="1"/>
    <col min="8" max="8" width="6.5703125" style="10" customWidth="1"/>
    <col min="9" max="9" width="8.85546875" style="507" customWidth="1"/>
    <col min="10" max="10" width="6.5703125" style="10" customWidth="1"/>
    <col min="11" max="20" width="6.85546875" customWidth="1"/>
    <col min="21" max="22" width="7.7109375" style="507" customWidth="1"/>
  </cols>
  <sheetData>
    <row r="1" spans="1:22" ht="36.75" customHeight="1">
      <c r="A1" s="77"/>
      <c r="B1" s="77"/>
      <c r="C1" s="77"/>
      <c r="D1" s="79" t="str">
        <f>sysX!A2</f>
        <v>4301</v>
      </c>
      <c r="E1" s="79" t="str">
        <f>sysX!A4</f>
        <v>BERJASEN</v>
      </c>
      <c r="F1" s="77"/>
      <c r="G1" s="81" t="str">
        <f>sysX!A6</f>
        <v>2019</v>
      </c>
      <c r="H1" s="634"/>
      <c r="I1" s="641"/>
      <c r="J1" s="636"/>
      <c r="K1" s="520"/>
      <c r="L1" s="77"/>
      <c r="M1" s="77"/>
      <c r="N1" s="77"/>
      <c r="O1" s="531"/>
      <c r="P1" s="531"/>
      <c r="Q1" s="77"/>
      <c r="R1" s="77"/>
      <c r="S1" s="77"/>
      <c r="T1" s="77"/>
      <c r="U1" s="501"/>
      <c r="V1" s="501"/>
    </row>
    <row r="2" spans="1:22" ht="12" customHeight="1">
      <c r="A2" s="11"/>
      <c r="B2" s="11"/>
      <c r="C2" s="11"/>
      <c r="D2" s="870" t="s">
        <v>384</v>
      </c>
      <c r="E2" s="870"/>
      <c r="F2" s="870"/>
      <c r="G2" s="870"/>
      <c r="H2" s="870"/>
      <c r="I2" s="870"/>
      <c r="J2" s="870"/>
      <c r="K2" s="870"/>
      <c r="L2" s="870"/>
      <c r="M2" s="870"/>
      <c r="N2" s="870"/>
      <c r="O2" s="870"/>
      <c r="P2" s="870"/>
      <c r="Q2" s="870"/>
      <c r="R2" s="870"/>
      <c r="S2" s="616"/>
      <c r="T2" s="616"/>
      <c r="U2" s="650"/>
      <c r="V2" s="650"/>
    </row>
    <row r="3" spans="1:22" ht="12" customHeight="1" thickBot="1">
      <c r="A3" s="12"/>
      <c r="B3" s="12"/>
      <c r="C3" s="12"/>
      <c r="D3" s="871"/>
      <c r="E3" s="871"/>
      <c r="F3" s="871"/>
      <c r="G3" s="871"/>
      <c r="H3" s="871"/>
      <c r="I3" s="871"/>
      <c r="J3" s="871"/>
      <c r="K3" s="871"/>
      <c r="L3" s="871"/>
      <c r="M3" s="871"/>
      <c r="N3" s="871"/>
      <c r="O3" s="871"/>
      <c r="P3" s="871"/>
      <c r="Q3" s="871"/>
      <c r="R3" s="871"/>
      <c r="S3" s="617"/>
      <c r="T3" s="617"/>
      <c r="U3" s="651"/>
      <c r="V3" s="651"/>
    </row>
    <row r="4" spans="1:22" ht="12" customHeight="1">
      <c r="A4" s="13"/>
      <c r="B4" s="14"/>
      <c r="C4" s="14"/>
      <c r="D4" s="837" t="s">
        <v>16</v>
      </c>
      <c r="E4" s="839"/>
      <c r="F4" s="838"/>
      <c r="G4" s="837" t="s">
        <v>390</v>
      </c>
      <c r="H4" s="839"/>
      <c r="I4" s="839"/>
      <c r="J4" s="838"/>
      <c r="K4" s="839" t="s">
        <v>391</v>
      </c>
      <c r="L4" s="839"/>
      <c r="M4" s="837" t="s">
        <v>385</v>
      </c>
      <c r="N4" s="838"/>
      <c r="O4" s="868" t="s">
        <v>386</v>
      </c>
      <c r="P4" s="869"/>
      <c r="Q4" s="837" t="s">
        <v>387</v>
      </c>
      <c r="R4" s="838"/>
      <c r="S4" s="837" t="s">
        <v>388</v>
      </c>
      <c r="T4" s="838"/>
      <c r="U4" s="872" t="s">
        <v>389</v>
      </c>
      <c r="V4" s="873"/>
    </row>
    <row r="5" spans="1:22" ht="12" customHeight="1" thickBot="1">
      <c r="A5" s="15"/>
      <c r="B5" s="12"/>
      <c r="C5" s="12"/>
      <c r="D5" s="240" t="s">
        <v>22</v>
      </c>
      <c r="E5" s="516" t="s">
        <v>23</v>
      </c>
      <c r="F5" s="241" t="s">
        <v>280</v>
      </c>
      <c r="G5" s="240" t="s">
        <v>23</v>
      </c>
      <c r="H5" s="635" t="s">
        <v>158</v>
      </c>
      <c r="I5" s="642" t="s">
        <v>280</v>
      </c>
      <c r="J5" s="637" t="s">
        <v>158</v>
      </c>
      <c r="K5" s="516" t="s">
        <v>23</v>
      </c>
      <c r="L5" s="516" t="s">
        <v>280</v>
      </c>
      <c r="M5" s="16" t="s">
        <v>23</v>
      </c>
      <c r="N5" s="17" t="s">
        <v>280</v>
      </c>
      <c r="O5" s="527" t="s">
        <v>23</v>
      </c>
      <c r="P5" s="528" t="s">
        <v>280</v>
      </c>
      <c r="Q5" s="16" t="s">
        <v>23</v>
      </c>
      <c r="R5" s="17" t="s">
        <v>280</v>
      </c>
      <c r="S5" s="16" t="s">
        <v>23</v>
      </c>
      <c r="T5" s="17" t="s">
        <v>280</v>
      </c>
      <c r="U5" s="652" t="s">
        <v>23</v>
      </c>
      <c r="V5" s="653" t="s">
        <v>280</v>
      </c>
    </row>
    <row r="6" spans="1:22" ht="17.25" customHeight="1">
      <c r="A6" s="303" t="s">
        <v>27</v>
      </c>
      <c r="B6" s="304"/>
      <c r="C6" s="304"/>
      <c r="D6" s="305">
        <f>SUM(D8:D61)</f>
        <v>0</v>
      </c>
      <c r="E6" s="854">
        <f>SUM(E8:E61)</f>
        <v>0</v>
      </c>
      <c r="F6" s="517">
        <f>SUM(F8:F61)</f>
        <v>0</v>
      </c>
      <c r="G6" s="879">
        <f>SUM(G8:G61)</f>
        <v>0</v>
      </c>
      <c r="H6" s="876" t="e">
        <f>G6/E6</f>
        <v>#DIV/0!</v>
      </c>
      <c r="I6" s="643">
        <f>SUM(I8:I61)</f>
        <v>0</v>
      </c>
      <c r="J6" s="638" t="e">
        <f>SUM(I8:I61)/F6</f>
        <v>#DIV/0!</v>
      </c>
      <c r="K6" s="874">
        <f t="shared" ref="K6:V6" si="0">SUM(K8:K61)</f>
        <v>0</v>
      </c>
      <c r="L6" s="648">
        <f t="shared" si="0"/>
        <v>0</v>
      </c>
      <c r="M6" s="874">
        <f t="shared" si="0"/>
        <v>0</v>
      </c>
      <c r="N6" s="648">
        <f t="shared" si="0"/>
        <v>0</v>
      </c>
      <c r="O6" s="874">
        <f t="shared" si="0"/>
        <v>0</v>
      </c>
      <c r="P6" s="648">
        <f t="shared" si="0"/>
        <v>0</v>
      </c>
      <c r="Q6" s="874">
        <f t="shared" si="0"/>
        <v>0</v>
      </c>
      <c r="R6" s="648">
        <f t="shared" si="0"/>
        <v>0</v>
      </c>
      <c r="S6" s="874">
        <f t="shared" si="0"/>
        <v>0</v>
      </c>
      <c r="T6" s="648">
        <f t="shared" si="0"/>
        <v>0</v>
      </c>
      <c r="U6" s="874">
        <f t="shared" si="0"/>
        <v>0</v>
      </c>
      <c r="V6" s="648">
        <f t="shared" si="0"/>
        <v>0</v>
      </c>
    </row>
    <row r="7" spans="1:22" ht="17.25" customHeight="1" thickBot="1">
      <c r="A7" s="311" t="s">
        <v>51</v>
      </c>
      <c r="B7" s="312"/>
      <c r="C7" s="312"/>
      <c r="D7" s="632">
        <f>SUMIF($C8:$C61,1,D8:D61)</f>
        <v>0</v>
      </c>
      <c r="E7" s="878"/>
      <c r="F7" s="646">
        <f>SUMIF($C8:$C60,1,F8:F61)</f>
        <v>0</v>
      </c>
      <c r="G7" s="880"/>
      <c r="H7" s="877"/>
      <c r="I7" s="647">
        <f>SUMIF($C8:$C61,1,I8:I61)</f>
        <v>0</v>
      </c>
      <c r="J7" s="688" t="e">
        <f>SUMIF($C8:$C61,1,I8:I61)/F7</f>
        <v>#DIV/0!</v>
      </c>
      <c r="K7" s="875"/>
      <c r="L7" s="649">
        <f>SUMIF($C8:$C61,1,L8:L61)</f>
        <v>0</v>
      </c>
      <c r="M7" s="875"/>
      <c r="N7" s="649">
        <f>SUMIF($C8:$C61,1,N8:N61)</f>
        <v>0</v>
      </c>
      <c r="O7" s="875"/>
      <c r="P7" s="649">
        <f>SUMIF($C8:$C61,1,P8:P61)</f>
        <v>0</v>
      </c>
      <c r="Q7" s="875"/>
      <c r="R7" s="649">
        <f>SUMIF($C8:$C61,1,R8:R61)</f>
        <v>0</v>
      </c>
      <c r="S7" s="875"/>
      <c r="T7" s="649">
        <f>SUMIF($C8:$C61,1,T8:T61)</f>
        <v>0</v>
      </c>
      <c r="U7" s="875"/>
      <c r="V7" s="649">
        <f>SUMIF($C8:$C61,1,V8:V61)</f>
        <v>0</v>
      </c>
    </row>
    <row r="8" spans="1:22" ht="12" customHeight="1">
      <c r="A8" s="532"/>
      <c r="B8" s="24">
        <f>IF(F8&lt;&gt;"",1,0)</f>
        <v>0</v>
      </c>
      <c r="C8" s="24">
        <f>IF(E8&lt;&gt;"",1,0)</f>
        <v>0</v>
      </c>
      <c r="D8" s="553"/>
      <c r="E8" s="519"/>
      <c r="F8" s="628"/>
      <c r="G8" s="630"/>
      <c r="H8" s="633" t="str">
        <f>IFERROR(G8/E8,"")</f>
        <v/>
      </c>
      <c r="I8" s="644"/>
      <c r="J8" s="639" t="str">
        <f>IFERROR(I8/F8,"")</f>
        <v/>
      </c>
      <c r="K8" s="626"/>
      <c r="L8" s="654"/>
      <c r="M8" s="630"/>
      <c r="N8" s="654"/>
      <c r="O8" s="630"/>
      <c r="P8" s="654"/>
      <c r="Q8" s="630"/>
      <c r="R8" s="654"/>
      <c r="S8" s="630"/>
      <c r="T8" s="654"/>
      <c r="U8" s="630" t="str">
        <f t="shared" ref="U8:U18" si="1">IF(G8-K8-M8-O8-Q8-S8=0,"",G8-K8-M8-O8-Q8-S8)</f>
        <v/>
      </c>
      <c r="V8" s="654">
        <f>I8-L8-N8-P8-R8-T8</f>
        <v>0</v>
      </c>
    </row>
    <row r="9" spans="1:22" ht="12" customHeight="1">
      <c r="A9" s="532"/>
      <c r="B9" s="24">
        <f t="shared" ref="B9:B61" si="2">IF(F9&lt;&gt;"",1,0)</f>
        <v>0</v>
      </c>
      <c r="C9" s="24">
        <f t="shared" ref="C9:C61" si="3">IF(E9&lt;&gt;"",1,0)</f>
        <v>0</v>
      </c>
      <c r="D9" s="554"/>
      <c r="E9" s="25"/>
      <c r="F9" s="629"/>
      <c r="G9" s="631"/>
      <c r="H9" s="28" t="str">
        <f t="shared" ref="H9:H59" si="4">IFERROR(G9/E9,"")</f>
        <v/>
      </c>
      <c r="I9" s="645"/>
      <c r="J9" s="640" t="str">
        <f t="shared" ref="J9:J59" si="5">IFERROR(I9/F9,"")</f>
        <v/>
      </c>
      <c r="K9" s="627"/>
      <c r="L9" s="655"/>
      <c r="M9" s="631"/>
      <c r="N9" s="655"/>
      <c r="O9" s="631"/>
      <c r="P9" s="655"/>
      <c r="Q9" s="631"/>
      <c r="R9" s="655"/>
      <c r="S9" s="631"/>
      <c r="T9" s="655"/>
      <c r="U9" s="631" t="str">
        <f t="shared" si="1"/>
        <v/>
      </c>
      <c r="V9" s="655">
        <f t="shared" ref="V9:V59" si="6">I9-L9-N9-P9-R9-T9</f>
        <v>0</v>
      </c>
    </row>
    <row r="10" spans="1:22" ht="12" customHeight="1">
      <c r="A10" s="532"/>
      <c r="B10" s="24">
        <f t="shared" si="2"/>
        <v>0</v>
      </c>
      <c r="C10" s="24">
        <f t="shared" si="3"/>
        <v>0</v>
      </c>
      <c r="D10" s="554"/>
      <c r="E10" s="25"/>
      <c r="F10" s="629"/>
      <c r="G10" s="631"/>
      <c r="H10" s="28" t="str">
        <f t="shared" si="4"/>
        <v/>
      </c>
      <c r="I10" s="645"/>
      <c r="J10" s="640" t="str">
        <f t="shared" si="5"/>
        <v/>
      </c>
      <c r="K10" s="627"/>
      <c r="L10" s="655"/>
      <c r="M10" s="631"/>
      <c r="N10" s="655"/>
      <c r="O10" s="631"/>
      <c r="P10" s="655"/>
      <c r="Q10" s="631"/>
      <c r="R10" s="655"/>
      <c r="S10" s="631"/>
      <c r="T10" s="655"/>
      <c r="U10" s="631" t="str">
        <f t="shared" si="1"/>
        <v/>
      </c>
      <c r="V10" s="655">
        <f t="shared" si="6"/>
        <v>0</v>
      </c>
    </row>
    <row r="11" spans="1:22" ht="12" customHeight="1">
      <c r="A11" s="532"/>
      <c r="B11" s="24">
        <f t="shared" si="2"/>
        <v>0</v>
      </c>
      <c r="C11" s="24">
        <f t="shared" si="3"/>
        <v>0</v>
      </c>
      <c r="D11" s="554"/>
      <c r="E11" s="25"/>
      <c r="F11" s="629"/>
      <c r="G11" s="631"/>
      <c r="H11" s="28" t="str">
        <f t="shared" si="4"/>
        <v/>
      </c>
      <c r="I11" s="645"/>
      <c r="J11" s="640" t="str">
        <f t="shared" si="5"/>
        <v/>
      </c>
      <c r="K11" s="627"/>
      <c r="L11" s="655"/>
      <c r="M11" s="631"/>
      <c r="N11" s="655"/>
      <c r="O11" s="631"/>
      <c r="P11" s="655"/>
      <c r="Q11" s="631"/>
      <c r="R11" s="655"/>
      <c r="S11" s="631"/>
      <c r="T11" s="655"/>
      <c r="U11" s="631" t="str">
        <f t="shared" si="1"/>
        <v/>
      </c>
      <c r="V11" s="655">
        <f t="shared" si="6"/>
        <v>0</v>
      </c>
    </row>
    <row r="12" spans="1:22" ht="12" customHeight="1">
      <c r="A12" s="532"/>
      <c r="B12" s="24">
        <f t="shared" si="2"/>
        <v>0</v>
      </c>
      <c r="C12" s="24">
        <f t="shared" si="3"/>
        <v>0</v>
      </c>
      <c r="D12" s="554"/>
      <c r="E12" s="25"/>
      <c r="F12" s="629"/>
      <c r="G12" s="631"/>
      <c r="H12" s="28" t="str">
        <f t="shared" si="4"/>
        <v/>
      </c>
      <c r="I12" s="645"/>
      <c r="J12" s="640" t="str">
        <f t="shared" si="5"/>
        <v/>
      </c>
      <c r="K12" s="627"/>
      <c r="L12" s="655"/>
      <c r="M12" s="631"/>
      <c r="N12" s="655"/>
      <c r="O12" s="631"/>
      <c r="P12" s="655"/>
      <c r="Q12" s="631"/>
      <c r="R12" s="655"/>
      <c r="S12" s="631"/>
      <c r="T12" s="655"/>
      <c r="U12" s="631" t="str">
        <f t="shared" si="1"/>
        <v/>
      </c>
      <c r="V12" s="655">
        <f t="shared" si="6"/>
        <v>0</v>
      </c>
    </row>
    <row r="13" spans="1:22" ht="12" customHeight="1">
      <c r="A13" s="532"/>
      <c r="B13" s="24">
        <f t="shared" si="2"/>
        <v>0</v>
      </c>
      <c r="C13" s="24">
        <f t="shared" si="3"/>
        <v>0</v>
      </c>
      <c r="D13" s="554"/>
      <c r="E13" s="25"/>
      <c r="F13" s="629"/>
      <c r="G13" s="631"/>
      <c r="H13" s="28" t="str">
        <f t="shared" si="4"/>
        <v/>
      </c>
      <c r="I13" s="645"/>
      <c r="J13" s="640" t="str">
        <f t="shared" si="5"/>
        <v/>
      </c>
      <c r="K13" s="627"/>
      <c r="L13" s="655"/>
      <c r="M13" s="631"/>
      <c r="N13" s="655"/>
      <c r="O13" s="631"/>
      <c r="P13" s="655"/>
      <c r="Q13" s="631"/>
      <c r="R13" s="655"/>
      <c r="S13" s="631"/>
      <c r="T13" s="655"/>
      <c r="U13" s="631" t="str">
        <f t="shared" si="1"/>
        <v/>
      </c>
      <c r="V13" s="655">
        <f t="shared" si="6"/>
        <v>0</v>
      </c>
    </row>
    <row r="14" spans="1:22" ht="12" customHeight="1">
      <c r="A14" s="532"/>
      <c r="B14" s="24">
        <f t="shared" si="2"/>
        <v>0</v>
      </c>
      <c r="C14" s="24">
        <f t="shared" si="3"/>
        <v>0</v>
      </c>
      <c r="D14" s="554"/>
      <c r="E14" s="25"/>
      <c r="F14" s="629"/>
      <c r="G14" s="631"/>
      <c r="H14" s="28" t="str">
        <f t="shared" si="4"/>
        <v/>
      </c>
      <c r="I14" s="645"/>
      <c r="J14" s="640" t="str">
        <f t="shared" si="5"/>
        <v/>
      </c>
      <c r="K14" s="627"/>
      <c r="L14" s="655"/>
      <c r="M14" s="631"/>
      <c r="N14" s="655"/>
      <c r="O14" s="631"/>
      <c r="P14" s="655"/>
      <c r="Q14" s="631"/>
      <c r="R14" s="655"/>
      <c r="S14" s="631"/>
      <c r="T14" s="655"/>
      <c r="U14" s="631" t="str">
        <f t="shared" si="1"/>
        <v/>
      </c>
      <c r="V14" s="655">
        <f t="shared" si="6"/>
        <v>0</v>
      </c>
    </row>
    <row r="15" spans="1:22" ht="12" customHeight="1">
      <c r="A15" s="532"/>
      <c r="B15" s="24">
        <f t="shared" si="2"/>
        <v>0</v>
      </c>
      <c r="C15" s="24">
        <f t="shared" si="3"/>
        <v>0</v>
      </c>
      <c r="D15" s="554"/>
      <c r="E15" s="25"/>
      <c r="F15" s="629"/>
      <c r="G15" s="631"/>
      <c r="H15" s="28" t="str">
        <f t="shared" si="4"/>
        <v/>
      </c>
      <c r="I15" s="645"/>
      <c r="J15" s="640" t="str">
        <f t="shared" si="5"/>
        <v/>
      </c>
      <c r="K15" s="627"/>
      <c r="L15" s="655"/>
      <c r="M15" s="631"/>
      <c r="N15" s="655"/>
      <c r="O15" s="631"/>
      <c r="P15" s="655"/>
      <c r="Q15" s="631"/>
      <c r="R15" s="655"/>
      <c r="S15" s="631"/>
      <c r="T15" s="655"/>
      <c r="U15" s="631" t="str">
        <f t="shared" si="1"/>
        <v/>
      </c>
      <c r="V15" s="655">
        <f t="shared" si="6"/>
        <v>0</v>
      </c>
    </row>
    <row r="16" spans="1:22" ht="12" customHeight="1">
      <c r="A16" s="532"/>
      <c r="B16" s="24">
        <f t="shared" si="2"/>
        <v>0</v>
      </c>
      <c r="C16" s="24">
        <f t="shared" si="3"/>
        <v>0</v>
      </c>
      <c r="D16" s="554"/>
      <c r="E16" s="25"/>
      <c r="F16" s="629"/>
      <c r="G16" s="631"/>
      <c r="H16" s="28" t="str">
        <f t="shared" si="4"/>
        <v/>
      </c>
      <c r="I16" s="645"/>
      <c r="J16" s="640" t="str">
        <f t="shared" si="5"/>
        <v/>
      </c>
      <c r="K16" s="627"/>
      <c r="L16" s="655"/>
      <c r="M16" s="631"/>
      <c r="N16" s="655"/>
      <c r="O16" s="631"/>
      <c r="P16" s="655"/>
      <c r="Q16" s="631"/>
      <c r="R16" s="655"/>
      <c r="S16" s="631"/>
      <c r="T16" s="655"/>
      <c r="U16" s="631" t="str">
        <f t="shared" si="1"/>
        <v/>
      </c>
      <c r="V16" s="655">
        <f t="shared" si="6"/>
        <v>0</v>
      </c>
    </row>
    <row r="17" spans="1:22" ht="12" customHeight="1">
      <c r="A17" s="532"/>
      <c r="B17" s="24">
        <f t="shared" si="2"/>
        <v>0</v>
      </c>
      <c r="C17" s="24">
        <f t="shared" si="3"/>
        <v>0</v>
      </c>
      <c r="D17" s="554"/>
      <c r="E17" s="25"/>
      <c r="F17" s="629"/>
      <c r="G17" s="631"/>
      <c r="H17" s="28" t="str">
        <f t="shared" si="4"/>
        <v/>
      </c>
      <c r="I17" s="645"/>
      <c r="J17" s="640" t="str">
        <f t="shared" si="5"/>
        <v/>
      </c>
      <c r="K17" s="627"/>
      <c r="L17" s="655"/>
      <c r="M17" s="631"/>
      <c r="N17" s="655"/>
      <c r="O17" s="631"/>
      <c r="P17" s="655"/>
      <c r="Q17" s="631"/>
      <c r="R17" s="655"/>
      <c r="S17" s="631"/>
      <c r="T17" s="655"/>
      <c r="U17" s="631" t="str">
        <f t="shared" si="1"/>
        <v/>
      </c>
      <c r="V17" s="655">
        <f t="shared" si="6"/>
        <v>0</v>
      </c>
    </row>
    <row r="18" spans="1:22" ht="12" customHeight="1">
      <c r="A18" s="532"/>
      <c r="B18" s="24">
        <f t="shared" si="2"/>
        <v>0</v>
      </c>
      <c r="C18" s="24">
        <f t="shared" si="3"/>
        <v>0</v>
      </c>
      <c r="D18" s="554"/>
      <c r="E18" s="25"/>
      <c r="F18" s="629"/>
      <c r="G18" s="631"/>
      <c r="H18" s="28" t="str">
        <f t="shared" si="4"/>
        <v/>
      </c>
      <c r="I18" s="645"/>
      <c r="J18" s="640" t="str">
        <f t="shared" si="5"/>
        <v/>
      </c>
      <c r="K18" s="627"/>
      <c r="L18" s="655"/>
      <c r="M18" s="631"/>
      <c r="N18" s="655"/>
      <c r="O18" s="631"/>
      <c r="P18" s="655"/>
      <c r="Q18" s="631"/>
      <c r="R18" s="655"/>
      <c r="S18" s="631"/>
      <c r="T18" s="655"/>
      <c r="U18" s="631" t="str">
        <f t="shared" si="1"/>
        <v/>
      </c>
      <c r="V18" s="655">
        <f t="shared" si="6"/>
        <v>0</v>
      </c>
    </row>
    <row r="19" spans="1:22" ht="12" customHeight="1">
      <c r="A19" s="532"/>
      <c r="B19" s="24">
        <f t="shared" si="2"/>
        <v>0</v>
      </c>
      <c r="C19" s="24">
        <f t="shared" si="3"/>
        <v>0</v>
      </c>
      <c r="D19" s="554"/>
      <c r="E19" s="25"/>
      <c r="F19" s="629"/>
      <c r="G19" s="631"/>
      <c r="H19" s="28" t="str">
        <f t="shared" si="4"/>
        <v/>
      </c>
      <c r="I19" s="645"/>
      <c r="J19" s="640" t="str">
        <f t="shared" si="5"/>
        <v/>
      </c>
      <c r="K19" s="627"/>
      <c r="L19" s="655"/>
      <c r="M19" s="631"/>
      <c r="N19" s="655"/>
      <c r="O19" s="631"/>
      <c r="P19" s="655"/>
      <c r="Q19" s="631"/>
      <c r="R19" s="655"/>
      <c r="S19" s="631"/>
      <c r="T19" s="655"/>
      <c r="U19" s="631" t="str">
        <f>IF(G19-K19-M19-O19-Q19-S19=0,"",G19-K19-M19-O19-Q19-S19)</f>
        <v/>
      </c>
      <c r="V19" s="655">
        <f t="shared" si="6"/>
        <v>0</v>
      </c>
    </row>
    <row r="20" spans="1:22" ht="12" customHeight="1">
      <c r="A20" s="532"/>
      <c r="B20" s="24">
        <f t="shared" si="2"/>
        <v>0</v>
      </c>
      <c r="C20" s="24">
        <f t="shared" si="3"/>
        <v>0</v>
      </c>
      <c r="D20" s="554"/>
      <c r="E20" s="25"/>
      <c r="F20" s="629"/>
      <c r="G20" s="631"/>
      <c r="H20" s="28" t="str">
        <f t="shared" si="4"/>
        <v/>
      </c>
      <c r="I20" s="645"/>
      <c r="J20" s="640" t="str">
        <f t="shared" si="5"/>
        <v/>
      </c>
      <c r="K20" s="627"/>
      <c r="L20" s="655"/>
      <c r="M20" s="631"/>
      <c r="N20" s="655"/>
      <c r="O20" s="631"/>
      <c r="P20" s="655"/>
      <c r="Q20" s="631"/>
      <c r="R20" s="655"/>
      <c r="S20" s="631"/>
      <c r="T20" s="655"/>
      <c r="U20" s="631" t="str">
        <f t="shared" ref="U20:U61" si="7">IF(G20-K20-M20-O20-Q20-S20=0,"",G20-K20-M20-O20-Q20-S20)</f>
        <v/>
      </c>
      <c r="V20" s="655">
        <f t="shared" si="6"/>
        <v>0</v>
      </c>
    </row>
    <row r="21" spans="1:22" ht="12" customHeight="1">
      <c r="A21" s="532"/>
      <c r="B21" s="24">
        <f t="shared" si="2"/>
        <v>0</v>
      </c>
      <c r="C21" s="24">
        <f t="shared" si="3"/>
        <v>0</v>
      </c>
      <c r="D21" s="554"/>
      <c r="E21" s="25"/>
      <c r="F21" s="629"/>
      <c r="G21" s="631"/>
      <c r="H21" s="28" t="str">
        <f t="shared" si="4"/>
        <v/>
      </c>
      <c r="I21" s="645"/>
      <c r="J21" s="640" t="str">
        <f t="shared" si="5"/>
        <v/>
      </c>
      <c r="K21" s="627"/>
      <c r="L21" s="655"/>
      <c r="M21" s="631"/>
      <c r="N21" s="655"/>
      <c r="O21" s="631"/>
      <c r="P21" s="655"/>
      <c r="Q21" s="631"/>
      <c r="R21" s="655"/>
      <c r="S21" s="631"/>
      <c r="T21" s="655"/>
      <c r="U21" s="631" t="str">
        <f t="shared" si="7"/>
        <v/>
      </c>
      <c r="V21" s="655">
        <f t="shared" si="6"/>
        <v>0</v>
      </c>
    </row>
    <row r="22" spans="1:22" ht="12" customHeight="1">
      <c r="A22" s="532"/>
      <c r="B22" s="24">
        <f t="shared" si="2"/>
        <v>0</v>
      </c>
      <c r="C22" s="24">
        <f t="shared" si="3"/>
        <v>0</v>
      </c>
      <c r="D22" s="554"/>
      <c r="E22" s="25"/>
      <c r="F22" s="629"/>
      <c r="G22" s="631"/>
      <c r="H22" s="28" t="str">
        <f t="shared" si="4"/>
        <v/>
      </c>
      <c r="I22" s="645"/>
      <c r="J22" s="640" t="str">
        <f t="shared" si="5"/>
        <v/>
      </c>
      <c r="K22" s="627"/>
      <c r="L22" s="655"/>
      <c r="M22" s="631"/>
      <c r="N22" s="655"/>
      <c r="O22" s="631"/>
      <c r="P22" s="655"/>
      <c r="Q22" s="631"/>
      <c r="R22" s="655"/>
      <c r="S22" s="631"/>
      <c r="T22" s="655"/>
      <c r="U22" s="631" t="str">
        <f t="shared" si="7"/>
        <v/>
      </c>
      <c r="V22" s="655">
        <f t="shared" si="6"/>
        <v>0</v>
      </c>
    </row>
    <row r="23" spans="1:22" ht="12" customHeight="1">
      <c r="A23" s="532"/>
      <c r="B23" s="24">
        <f t="shared" si="2"/>
        <v>0</v>
      </c>
      <c r="C23" s="24">
        <f t="shared" si="3"/>
        <v>0</v>
      </c>
      <c r="D23" s="554"/>
      <c r="E23" s="25"/>
      <c r="F23" s="629"/>
      <c r="G23" s="631"/>
      <c r="H23" s="28" t="str">
        <f t="shared" si="4"/>
        <v/>
      </c>
      <c r="I23" s="645"/>
      <c r="J23" s="640" t="str">
        <f t="shared" si="5"/>
        <v/>
      </c>
      <c r="K23" s="627"/>
      <c r="L23" s="655"/>
      <c r="M23" s="631"/>
      <c r="N23" s="655"/>
      <c r="O23" s="631"/>
      <c r="P23" s="655"/>
      <c r="Q23" s="631"/>
      <c r="R23" s="655"/>
      <c r="S23" s="631"/>
      <c r="T23" s="655"/>
      <c r="U23" s="631" t="str">
        <f t="shared" si="7"/>
        <v/>
      </c>
      <c r="V23" s="655">
        <f t="shared" si="6"/>
        <v>0</v>
      </c>
    </row>
    <row r="24" spans="1:22" ht="12" customHeight="1">
      <c r="A24" s="532"/>
      <c r="B24" s="24">
        <f t="shared" si="2"/>
        <v>0</v>
      </c>
      <c r="C24" s="24">
        <f t="shared" si="3"/>
        <v>0</v>
      </c>
      <c r="D24" s="554"/>
      <c r="E24" s="25"/>
      <c r="F24" s="629"/>
      <c r="G24" s="631"/>
      <c r="H24" s="28" t="str">
        <f t="shared" si="4"/>
        <v/>
      </c>
      <c r="I24" s="645"/>
      <c r="J24" s="640" t="str">
        <f t="shared" si="5"/>
        <v/>
      </c>
      <c r="K24" s="627"/>
      <c r="L24" s="655"/>
      <c r="M24" s="631"/>
      <c r="N24" s="655"/>
      <c r="O24" s="631"/>
      <c r="P24" s="655"/>
      <c r="Q24" s="631"/>
      <c r="R24" s="655"/>
      <c r="S24" s="631"/>
      <c r="T24" s="655"/>
      <c r="U24" s="631" t="str">
        <f t="shared" si="7"/>
        <v/>
      </c>
      <c r="V24" s="655">
        <f t="shared" si="6"/>
        <v>0</v>
      </c>
    </row>
    <row r="25" spans="1:22" ht="12" customHeight="1">
      <c r="A25" s="532"/>
      <c r="B25" s="24">
        <f t="shared" si="2"/>
        <v>0</v>
      </c>
      <c r="C25" s="24">
        <f t="shared" si="3"/>
        <v>0</v>
      </c>
      <c r="D25" s="554"/>
      <c r="E25" s="25"/>
      <c r="F25" s="629"/>
      <c r="G25" s="631"/>
      <c r="H25" s="28" t="str">
        <f t="shared" si="4"/>
        <v/>
      </c>
      <c r="I25" s="645"/>
      <c r="J25" s="640" t="str">
        <f t="shared" si="5"/>
        <v/>
      </c>
      <c r="K25" s="627"/>
      <c r="L25" s="655"/>
      <c r="M25" s="631"/>
      <c r="N25" s="655"/>
      <c r="O25" s="631"/>
      <c r="P25" s="655"/>
      <c r="Q25" s="631"/>
      <c r="R25" s="655"/>
      <c r="S25" s="631"/>
      <c r="T25" s="655"/>
      <c r="U25" s="631" t="str">
        <f t="shared" si="7"/>
        <v/>
      </c>
      <c r="V25" s="655">
        <f t="shared" si="6"/>
        <v>0</v>
      </c>
    </row>
    <row r="26" spans="1:22" ht="12" customHeight="1">
      <c r="A26" s="532"/>
      <c r="B26" s="24">
        <f t="shared" si="2"/>
        <v>0</v>
      </c>
      <c r="C26" s="24">
        <f t="shared" si="3"/>
        <v>0</v>
      </c>
      <c r="D26" s="554"/>
      <c r="E26" s="25"/>
      <c r="F26" s="629"/>
      <c r="G26" s="631"/>
      <c r="H26" s="28" t="str">
        <f t="shared" si="4"/>
        <v/>
      </c>
      <c r="I26" s="645"/>
      <c r="J26" s="640" t="str">
        <f t="shared" si="5"/>
        <v/>
      </c>
      <c r="K26" s="627"/>
      <c r="L26" s="655"/>
      <c r="M26" s="631"/>
      <c r="N26" s="655"/>
      <c r="O26" s="631"/>
      <c r="P26" s="655"/>
      <c r="Q26" s="631"/>
      <c r="R26" s="655"/>
      <c r="S26" s="631"/>
      <c r="T26" s="655"/>
      <c r="U26" s="631" t="str">
        <f t="shared" si="7"/>
        <v/>
      </c>
      <c r="V26" s="655">
        <f t="shared" si="6"/>
        <v>0</v>
      </c>
    </row>
    <row r="27" spans="1:22" ht="12" customHeight="1">
      <c r="A27" s="532"/>
      <c r="B27" s="24">
        <f t="shared" si="2"/>
        <v>0</v>
      </c>
      <c r="C27" s="24">
        <f t="shared" si="3"/>
        <v>0</v>
      </c>
      <c r="D27" s="554"/>
      <c r="E27" s="25"/>
      <c r="F27" s="629"/>
      <c r="G27" s="631"/>
      <c r="H27" s="28" t="str">
        <f t="shared" si="4"/>
        <v/>
      </c>
      <c r="I27" s="645"/>
      <c r="J27" s="640" t="str">
        <f t="shared" si="5"/>
        <v/>
      </c>
      <c r="K27" s="627"/>
      <c r="L27" s="655"/>
      <c r="M27" s="631"/>
      <c r="N27" s="655"/>
      <c r="O27" s="631"/>
      <c r="P27" s="655"/>
      <c r="Q27" s="631"/>
      <c r="R27" s="655"/>
      <c r="S27" s="631"/>
      <c r="T27" s="655"/>
      <c r="U27" s="631" t="str">
        <f t="shared" si="7"/>
        <v/>
      </c>
      <c r="V27" s="655">
        <f t="shared" si="6"/>
        <v>0</v>
      </c>
    </row>
    <row r="28" spans="1:22" ht="12" customHeight="1">
      <c r="A28" s="532"/>
      <c r="B28" s="24">
        <f t="shared" si="2"/>
        <v>0</v>
      </c>
      <c r="C28" s="24">
        <f t="shared" si="3"/>
        <v>0</v>
      </c>
      <c r="D28" s="554"/>
      <c r="E28" s="25"/>
      <c r="F28" s="629"/>
      <c r="G28" s="631"/>
      <c r="H28" s="28" t="str">
        <f t="shared" si="4"/>
        <v/>
      </c>
      <c r="I28" s="645"/>
      <c r="J28" s="640" t="str">
        <f t="shared" si="5"/>
        <v/>
      </c>
      <c r="K28" s="627"/>
      <c r="L28" s="655"/>
      <c r="M28" s="631"/>
      <c r="N28" s="655"/>
      <c r="O28" s="631"/>
      <c r="P28" s="655"/>
      <c r="Q28" s="631"/>
      <c r="R28" s="655"/>
      <c r="S28" s="631"/>
      <c r="T28" s="655"/>
      <c r="U28" s="631" t="str">
        <f t="shared" si="7"/>
        <v/>
      </c>
      <c r="V28" s="655">
        <f t="shared" si="6"/>
        <v>0</v>
      </c>
    </row>
    <row r="29" spans="1:22" ht="12" customHeight="1">
      <c r="A29" s="532"/>
      <c r="B29" s="24">
        <f t="shared" si="2"/>
        <v>0</v>
      </c>
      <c r="C29" s="24">
        <f t="shared" si="3"/>
        <v>0</v>
      </c>
      <c r="D29" s="554"/>
      <c r="E29" s="25"/>
      <c r="F29" s="629"/>
      <c r="G29" s="631"/>
      <c r="H29" s="28" t="str">
        <f t="shared" si="4"/>
        <v/>
      </c>
      <c r="I29" s="645"/>
      <c r="J29" s="640" t="str">
        <f t="shared" si="5"/>
        <v/>
      </c>
      <c r="K29" s="627"/>
      <c r="L29" s="655"/>
      <c r="M29" s="631"/>
      <c r="N29" s="655"/>
      <c r="O29" s="631"/>
      <c r="P29" s="655"/>
      <c r="Q29" s="631"/>
      <c r="R29" s="655"/>
      <c r="S29" s="631"/>
      <c r="T29" s="655"/>
      <c r="U29" s="631" t="str">
        <f t="shared" si="7"/>
        <v/>
      </c>
      <c r="V29" s="655">
        <f t="shared" si="6"/>
        <v>0</v>
      </c>
    </row>
    <row r="30" spans="1:22" ht="12" customHeight="1">
      <c r="A30" s="532"/>
      <c r="B30" s="24">
        <f t="shared" si="2"/>
        <v>0</v>
      </c>
      <c r="C30" s="24">
        <f t="shared" si="3"/>
        <v>0</v>
      </c>
      <c r="D30" s="554"/>
      <c r="E30" s="25"/>
      <c r="F30" s="629"/>
      <c r="G30" s="631"/>
      <c r="H30" s="28" t="str">
        <f t="shared" si="4"/>
        <v/>
      </c>
      <c r="I30" s="645"/>
      <c r="J30" s="640" t="str">
        <f t="shared" si="5"/>
        <v/>
      </c>
      <c r="K30" s="627"/>
      <c r="L30" s="655"/>
      <c r="M30" s="631"/>
      <c r="N30" s="655"/>
      <c r="O30" s="631"/>
      <c r="P30" s="655"/>
      <c r="Q30" s="631"/>
      <c r="R30" s="655"/>
      <c r="S30" s="631"/>
      <c r="T30" s="655"/>
      <c r="U30" s="631" t="str">
        <f t="shared" si="7"/>
        <v/>
      </c>
      <c r="V30" s="655">
        <f t="shared" si="6"/>
        <v>0</v>
      </c>
    </row>
    <row r="31" spans="1:22" ht="12" customHeight="1">
      <c r="A31" s="532"/>
      <c r="B31" s="24">
        <f t="shared" si="2"/>
        <v>0</v>
      </c>
      <c r="C31" s="24">
        <f t="shared" si="3"/>
        <v>0</v>
      </c>
      <c r="D31" s="554"/>
      <c r="E31" s="25"/>
      <c r="F31" s="629"/>
      <c r="G31" s="631"/>
      <c r="H31" s="28" t="str">
        <f t="shared" si="4"/>
        <v/>
      </c>
      <c r="I31" s="645"/>
      <c r="J31" s="640" t="str">
        <f t="shared" si="5"/>
        <v/>
      </c>
      <c r="K31" s="627"/>
      <c r="L31" s="655"/>
      <c r="M31" s="631"/>
      <c r="N31" s="655"/>
      <c r="O31" s="631"/>
      <c r="P31" s="655"/>
      <c r="Q31" s="631"/>
      <c r="R31" s="655"/>
      <c r="S31" s="631"/>
      <c r="T31" s="655"/>
      <c r="U31" s="631" t="str">
        <f t="shared" si="7"/>
        <v/>
      </c>
      <c r="V31" s="655">
        <f t="shared" si="6"/>
        <v>0</v>
      </c>
    </row>
    <row r="32" spans="1:22" ht="12" customHeight="1">
      <c r="A32" s="532"/>
      <c r="B32" s="24">
        <f t="shared" si="2"/>
        <v>0</v>
      </c>
      <c r="C32" s="24">
        <f t="shared" si="3"/>
        <v>0</v>
      </c>
      <c r="D32" s="554"/>
      <c r="E32" s="25"/>
      <c r="F32" s="629"/>
      <c r="G32" s="631"/>
      <c r="H32" s="28" t="str">
        <f t="shared" si="4"/>
        <v/>
      </c>
      <c r="I32" s="645"/>
      <c r="J32" s="640" t="str">
        <f t="shared" si="5"/>
        <v/>
      </c>
      <c r="K32" s="627"/>
      <c r="L32" s="655"/>
      <c r="M32" s="631"/>
      <c r="N32" s="655"/>
      <c r="O32" s="631"/>
      <c r="P32" s="655"/>
      <c r="Q32" s="631"/>
      <c r="R32" s="655"/>
      <c r="S32" s="631"/>
      <c r="T32" s="655"/>
      <c r="U32" s="631" t="str">
        <f t="shared" si="7"/>
        <v/>
      </c>
      <c r="V32" s="655">
        <f t="shared" si="6"/>
        <v>0</v>
      </c>
    </row>
    <row r="33" spans="1:22" ht="12" customHeight="1">
      <c r="A33" s="532"/>
      <c r="B33" s="24">
        <f t="shared" si="2"/>
        <v>0</v>
      </c>
      <c r="C33" s="24">
        <f t="shared" si="3"/>
        <v>0</v>
      </c>
      <c r="D33" s="554"/>
      <c r="E33" s="25"/>
      <c r="F33" s="629"/>
      <c r="G33" s="631"/>
      <c r="H33" s="28" t="str">
        <f t="shared" si="4"/>
        <v/>
      </c>
      <c r="I33" s="645"/>
      <c r="J33" s="640" t="str">
        <f t="shared" si="5"/>
        <v/>
      </c>
      <c r="K33" s="627"/>
      <c r="L33" s="655"/>
      <c r="M33" s="631"/>
      <c r="N33" s="655"/>
      <c r="O33" s="631"/>
      <c r="P33" s="655"/>
      <c r="Q33" s="631"/>
      <c r="R33" s="655"/>
      <c r="S33" s="631"/>
      <c r="T33" s="655"/>
      <c r="U33" s="631" t="str">
        <f t="shared" si="7"/>
        <v/>
      </c>
      <c r="V33" s="655">
        <f t="shared" si="6"/>
        <v>0</v>
      </c>
    </row>
    <row r="34" spans="1:22" ht="12" customHeight="1">
      <c r="A34" s="532"/>
      <c r="B34" s="24">
        <f t="shared" si="2"/>
        <v>0</v>
      </c>
      <c r="C34" s="24">
        <f t="shared" si="3"/>
        <v>0</v>
      </c>
      <c r="D34" s="554"/>
      <c r="E34" s="25"/>
      <c r="F34" s="629"/>
      <c r="G34" s="631"/>
      <c r="H34" s="28" t="str">
        <f t="shared" si="4"/>
        <v/>
      </c>
      <c r="I34" s="645"/>
      <c r="J34" s="640" t="str">
        <f t="shared" si="5"/>
        <v/>
      </c>
      <c r="K34" s="627"/>
      <c r="L34" s="655"/>
      <c r="M34" s="631"/>
      <c r="N34" s="655"/>
      <c r="O34" s="631"/>
      <c r="P34" s="655"/>
      <c r="Q34" s="631"/>
      <c r="R34" s="655"/>
      <c r="S34" s="631"/>
      <c r="T34" s="655"/>
      <c r="U34" s="631" t="str">
        <f t="shared" si="7"/>
        <v/>
      </c>
      <c r="V34" s="655">
        <f t="shared" si="6"/>
        <v>0</v>
      </c>
    </row>
    <row r="35" spans="1:22" ht="12" customHeight="1">
      <c r="A35" s="532"/>
      <c r="B35" s="24">
        <f t="shared" si="2"/>
        <v>0</v>
      </c>
      <c r="C35" s="24">
        <f t="shared" si="3"/>
        <v>0</v>
      </c>
      <c r="D35" s="554"/>
      <c r="E35" s="25"/>
      <c r="F35" s="629"/>
      <c r="G35" s="631"/>
      <c r="H35" s="28" t="str">
        <f t="shared" si="4"/>
        <v/>
      </c>
      <c r="I35" s="645"/>
      <c r="J35" s="640" t="str">
        <f t="shared" si="5"/>
        <v/>
      </c>
      <c r="K35" s="627"/>
      <c r="L35" s="655"/>
      <c r="M35" s="631"/>
      <c r="N35" s="655"/>
      <c r="O35" s="631"/>
      <c r="P35" s="655"/>
      <c r="Q35" s="631"/>
      <c r="R35" s="655"/>
      <c r="S35" s="631"/>
      <c r="T35" s="655"/>
      <c r="U35" s="631" t="str">
        <f t="shared" si="7"/>
        <v/>
      </c>
      <c r="V35" s="655">
        <f t="shared" si="6"/>
        <v>0</v>
      </c>
    </row>
    <row r="36" spans="1:22" ht="12" customHeight="1">
      <c r="A36" s="532"/>
      <c r="B36" s="24">
        <f t="shared" si="2"/>
        <v>0</v>
      </c>
      <c r="C36" s="24">
        <f t="shared" si="3"/>
        <v>0</v>
      </c>
      <c r="D36" s="554"/>
      <c r="E36" s="25"/>
      <c r="F36" s="629"/>
      <c r="G36" s="631"/>
      <c r="H36" s="28" t="str">
        <f t="shared" si="4"/>
        <v/>
      </c>
      <c r="I36" s="645"/>
      <c r="J36" s="640" t="str">
        <f t="shared" si="5"/>
        <v/>
      </c>
      <c r="K36" s="627"/>
      <c r="L36" s="655"/>
      <c r="M36" s="631"/>
      <c r="N36" s="655"/>
      <c r="O36" s="631"/>
      <c r="P36" s="655"/>
      <c r="Q36" s="631"/>
      <c r="R36" s="655"/>
      <c r="S36" s="631"/>
      <c r="T36" s="655"/>
      <c r="U36" s="631" t="str">
        <f t="shared" si="7"/>
        <v/>
      </c>
      <c r="V36" s="655">
        <f t="shared" si="6"/>
        <v>0</v>
      </c>
    </row>
    <row r="37" spans="1:22" ht="12" customHeight="1">
      <c r="A37" s="532"/>
      <c r="B37" s="24">
        <f t="shared" si="2"/>
        <v>0</v>
      </c>
      <c r="C37" s="24">
        <f t="shared" si="3"/>
        <v>0</v>
      </c>
      <c r="D37" s="554"/>
      <c r="E37" s="25"/>
      <c r="F37" s="629"/>
      <c r="G37" s="631"/>
      <c r="H37" s="28" t="str">
        <f t="shared" si="4"/>
        <v/>
      </c>
      <c r="I37" s="645"/>
      <c r="J37" s="640" t="str">
        <f t="shared" si="5"/>
        <v/>
      </c>
      <c r="K37" s="627"/>
      <c r="L37" s="655"/>
      <c r="M37" s="631"/>
      <c r="N37" s="655"/>
      <c r="O37" s="631"/>
      <c r="P37" s="655"/>
      <c r="Q37" s="631"/>
      <c r="R37" s="655"/>
      <c r="S37" s="631"/>
      <c r="T37" s="655"/>
      <c r="U37" s="631" t="str">
        <f t="shared" si="7"/>
        <v/>
      </c>
      <c r="V37" s="655">
        <f t="shared" si="6"/>
        <v>0</v>
      </c>
    </row>
    <row r="38" spans="1:22" ht="12" customHeight="1">
      <c r="A38" s="532"/>
      <c r="B38" s="24">
        <f t="shared" si="2"/>
        <v>0</v>
      </c>
      <c r="C38" s="24">
        <f t="shared" si="3"/>
        <v>0</v>
      </c>
      <c r="D38" s="554"/>
      <c r="E38" s="25"/>
      <c r="F38" s="629"/>
      <c r="G38" s="631"/>
      <c r="H38" s="28" t="str">
        <f t="shared" si="4"/>
        <v/>
      </c>
      <c r="I38" s="645"/>
      <c r="J38" s="640" t="str">
        <f t="shared" si="5"/>
        <v/>
      </c>
      <c r="K38" s="627"/>
      <c r="L38" s="655"/>
      <c r="M38" s="631"/>
      <c r="N38" s="655"/>
      <c r="O38" s="631"/>
      <c r="P38" s="655"/>
      <c r="Q38" s="631"/>
      <c r="R38" s="655"/>
      <c r="S38" s="631"/>
      <c r="T38" s="655"/>
      <c r="U38" s="631" t="str">
        <f t="shared" si="7"/>
        <v/>
      </c>
      <c r="V38" s="655">
        <f t="shared" si="6"/>
        <v>0</v>
      </c>
    </row>
    <row r="39" spans="1:22" ht="12" customHeight="1">
      <c r="A39" s="532"/>
      <c r="B39" s="24">
        <f t="shared" si="2"/>
        <v>0</v>
      </c>
      <c r="C39" s="24">
        <f t="shared" si="3"/>
        <v>0</v>
      </c>
      <c r="D39" s="554"/>
      <c r="E39" s="25"/>
      <c r="F39" s="629"/>
      <c r="G39" s="631"/>
      <c r="H39" s="28" t="str">
        <f t="shared" si="4"/>
        <v/>
      </c>
      <c r="I39" s="645"/>
      <c r="J39" s="640" t="str">
        <f t="shared" si="5"/>
        <v/>
      </c>
      <c r="K39" s="627"/>
      <c r="L39" s="655"/>
      <c r="M39" s="631"/>
      <c r="N39" s="655"/>
      <c r="O39" s="631"/>
      <c r="P39" s="655"/>
      <c r="Q39" s="631"/>
      <c r="R39" s="655"/>
      <c r="S39" s="631"/>
      <c r="T39" s="655"/>
      <c r="U39" s="631" t="str">
        <f t="shared" si="7"/>
        <v/>
      </c>
      <c r="V39" s="655">
        <f t="shared" si="6"/>
        <v>0</v>
      </c>
    </row>
    <row r="40" spans="1:22" ht="12" customHeight="1">
      <c r="A40" s="532"/>
      <c r="B40" s="24">
        <f t="shared" si="2"/>
        <v>0</v>
      </c>
      <c r="C40" s="24">
        <f t="shared" si="3"/>
        <v>0</v>
      </c>
      <c r="D40" s="554"/>
      <c r="E40" s="25"/>
      <c r="F40" s="629"/>
      <c r="G40" s="631"/>
      <c r="H40" s="28" t="str">
        <f t="shared" si="4"/>
        <v/>
      </c>
      <c r="I40" s="645"/>
      <c r="J40" s="640" t="str">
        <f t="shared" si="5"/>
        <v/>
      </c>
      <c r="K40" s="627"/>
      <c r="L40" s="655"/>
      <c r="M40" s="631"/>
      <c r="N40" s="655"/>
      <c r="O40" s="631"/>
      <c r="P40" s="655"/>
      <c r="Q40" s="631"/>
      <c r="R40" s="655"/>
      <c r="S40" s="631"/>
      <c r="T40" s="655"/>
      <c r="U40" s="631" t="str">
        <f t="shared" si="7"/>
        <v/>
      </c>
      <c r="V40" s="655">
        <f t="shared" si="6"/>
        <v>0</v>
      </c>
    </row>
    <row r="41" spans="1:22" ht="12" customHeight="1">
      <c r="A41" s="532"/>
      <c r="B41" s="24">
        <f t="shared" si="2"/>
        <v>0</v>
      </c>
      <c r="C41" s="24">
        <f t="shared" si="3"/>
        <v>0</v>
      </c>
      <c r="D41" s="554"/>
      <c r="E41" s="25"/>
      <c r="F41" s="629"/>
      <c r="G41" s="631"/>
      <c r="H41" s="28" t="str">
        <f t="shared" si="4"/>
        <v/>
      </c>
      <c r="I41" s="645"/>
      <c r="J41" s="640" t="str">
        <f t="shared" si="5"/>
        <v/>
      </c>
      <c r="K41" s="627"/>
      <c r="L41" s="655"/>
      <c r="M41" s="631"/>
      <c r="N41" s="655"/>
      <c r="O41" s="631"/>
      <c r="P41" s="655"/>
      <c r="Q41" s="631"/>
      <c r="R41" s="655"/>
      <c r="S41" s="631"/>
      <c r="T41" s="655"/>
      <c r="U41" s="631" t="str">
        <f t="shared" si="7"/>
        <v/>
      </c>
      <c r="V41" s="655">
        <f t="shared" si="6"/>
        <v>0</v>
      </c>
    </row>
    <row r="42" spans="1:22" ht="12" customHeight="1">
      <c r="A42" s="532"/>
      <c r="B42" s="24">
        <f t="shared" si="2"/>
        <v>0</v>
      </c>
      <c r="C42" s="24">
        <f t="shared" si="3"/>
        <v>0</v>
      </c>
      <c r="D42" s="554"/>
      <c r="E42" s="25"/>
      <c r="F42" s="629"/>
      <c r="G42" s="631"/>
      <c r="H42" s="28" t="str">
        <f t="shared" si="4"/>
        <v/>
      </c>
      <c r="I42" s="645"/>
      <c r="J42" s="640" t="str">
        <f t="shared" si="5"/>
        <v/>
      </c>
      <c r="K42" s="627"/>
      <c r="L42" s="655"/>
      <c r="M42" s="631"/>
      <c r="N42" s="655"/>
      <c r="O42" s="631"/>
      <c r="P42" s="655"/>
      <c r="Q42" s="631"/>
      <c r="R42" s="655"/>
      <c r="S42" s="631"/>
      <c r="T42" s="655"/>
      <c r="U42" s="631" t="str">
        <f t="shared" si="7"/>
        <v/>
      </c>
      <c r="V42" s="655">
        <f t="shared" si="6"/>
        <v>0</v>
      </c>
    </row>
    <row r="43" spans="1:22" ht="12" customHeight="1">
      <c r="A43" s="532"/>
      <c r="B43" s="24">
        <f t="shared" si="2"/>
        <v>0</v>
      </c>
      <c r="C43" s="24">
        <f t="shared" si="3"/>
        <v>0</v>
      </c>
      <c r="D43" s="554"/>
      <c r="E43" s="25"/>
      <c r="F43" s="629"/>
      <c r="G43" s="631"/>
      <c r="H43" s="28" t="str">
        <f t="shared" si="4"/>
        <v/>
      </c>
      <c r="I43" s="645"/>
      <c r="J43" s="640" t="str">
        <f t="shared" si="5"/>
        <v/>
      </c>
      <c r="K43" s="627"/>
      <c r="L43" s="655"/>
      <c r="M43" s="631"/>
      <c r="N43" s="655"/>
      <c r="O43" s="631"/>
      <c r="P43" s="655"/>
      <c r="Q43" s="631"/>
      <c r="R43" s="655"/>
      <c r="S43" s="631"/>
      <c r="T43" s="655"/>
      <c r="U43" s="631" t="str">
        <f t="shared" si="7"/>
        <v/>
      </c>
      <c r="V43" s="655">
        <f t="shared" si="6"/>
        <v>0</v>
      </c>
    </row>
    <row r="44" spans="1:22" ht="12" customHeight="1">
      <c r="A44" s="532"/>
      <c r="B44" s="24">
        <f t="shared" si="2"/>
        <v>0</v>
      </c>
      <c r="C44" s="24">
        <f t="shared" si="3"/>
        <v>0</v>
      </c>
      <c r="D44" s="554"/>
      <c r="E44" s="25"/>
      <c r="F44" s="629"/>
      <c r="G44" s="631"/>
      <c r="H44" s="28" t="str">
        <f t="shared" si="4"/>
        <v/>
      </c>
      <c r="I44" s="645"/>
      <c r="J44" s="640" t="str">
        <f t="shared" si="5"/>
        <v/>
      </c>
      <c r="K44" s="627"/>
      <c r="L44" s="655"/>
      <c r="M44" s="631"/>
      <c r="N44" s="655"/>
      <c r="O44" s="631"/>
      <c r="P44" s="655"/>
      <c r="Q44" s="631"/>
      <c r="R44" s="655"/>
      <c r="S44" s="631"/>
      <c r="T44" s="655"/>
      <c r="U44" s="631" t="str">
        <f t="shared" si="7"/>
        <v/>
      </c>
      <c r="V44" s="655">
        <f t="shared" si="6"/>
        <v>0</v>
      </c>
    </row>
    <row r="45" spans="1:22" ht="12" customHeight="1">
      <c r="A45" s="532"/>
      <c r="B45" s="24">
        <f t="shared" si="2"/>
        <v>0</v>
      </c>
      <c r="C45" s="24">
        <f t="shared" si="3"/>
        <v>0</v>
      </c>
      <c r="D45" s="554"/>
      <c r="E45" s="25"/>
      <c r="F45" s="629"/>
      <c r="G45" s="631"/>
      <c r="H45" s="28" t="str">
        <f t="shared" si="4"/>
        <v/>
      </c>
      <c r="I45" s="645"/>
      <c r="J45" s="640" t="str">
        <f t="shared" si="5"/>
        <v/>
      </c>
      <c r="K45" s="627"/>
      <c r="L45" s="655"/>
      <c r="M45" s="631"/>
      <c r="N45" s="655"/>
      <c r="O45" s="631"/>
      <c r="P45" s="655"/>
      <c r="Q45" s="631"/>
      <c r="R45" s="655"/>
      <c r="S45" s="631"/>
      <c r="T45" s="655"/>
      <c r="U45" s="631" t="str">
        <f t="shared" si="7"/>
        <v/>
      </c>
      <c r="V45" s="655">
        <f t="shared" si="6"/>
        <v>0</v>
      </c>
    </row>
    <row r="46" spans="1:22" ht="12" customHeight="1">
      <c r="A46" s="532"/>
      <c r="B46" s="24">
        <f t="shared" si="2"/>
        <v>0</v>
      </c>
      <c r="C46" s="24">
        <f t="shared" si="3"/>
        <v>0</v>
      </c>
      <c r="D46" s="554"/>
      <c r="E46" s="25"/>
      <c r="F46" s="629"/>
      <c r="G46" s="631"/>
      <c r="H46" s="28" t="str">
        <f t="shared" si="4"/>
        <v/>
      </c>
      <c r="I46" s="645"/>
      <c r="J46" s="640" t="str">
        <f t="shared" si="5"/>
        <v/>
      </c>
      <c r="K46" s="627"/>
      <c r="L46" s="655"/>
      <c r="M46" s="631"/>
      <c r="N46" s="655"/>
      <c r="O46" s="631"/>
      <c r="P46" s="655"/>
      <c r="Q46" s="631"/>
      <c r="R46" s="655"/>
      <c r="S46" s="631"/>
      <c r="T46" s="655"/>
      <c r="U46" s="631" t="str">
        <f t="shared" si="7"/>
        <v/>
      </c>
      <c r="V46" s="655">
        <f t="shared" si="6"/>
        <v>0</v>
      </c>
    </row>
    <row r="47" spans="1:22" ht="12" customHeight="1">
      <c r="A47" s="532"/>
      <c r="B47" s="24">
        <f t="shared" si="2"/>
        <v>0</v>
      </c>
      <c r="C47" s="24">
        <f t="shared" si="3"/>
        <v>0</v>
      </c>
      <c r="D47" s="554"/>
      <c r="E47" s="25"/>
      <c r="F47" s="629"/>
      <c r="G47" s="631"/>
      <c r="H47" s="28" t="str">
        <f t="shared" si="4"/>
        <v/>
      </c>
      <c r="I47" s="645"/>
      <c r="J47" s="640" t="str">
        <f t="shared" si="5"/>
        <v/>
      </c>
      <c r="K47" s="627"/>
      <c r="L47" s="655"/>
      <c r="M47" s="631"/>
      <c r="N47" s="655"/>
      <c r="O47" s="631"/>
      <c r="P47" s="655"/>
      <c r="Q47" s="631"/>
      <c r="R47" s="655"/>
      <c r="S47" s="631"/>
      <c r="T47" s="655"/>
      <c r="U47" s="631" t="str">
        <f t="shared" si="7"/>
        <v/>
      </c>
      <c r="V47" s="655">
        <f t="shared" si="6"/>
        <v>0</v>
      </c>
    </row>
    <row r="48" spans="1:22" ht="12" customHeight="1">
      <c r="A48" s="532"/>
      <c r="B48" s="24">
        <f t="shared" si="2"/>
        <v>0</v>
      </c>
      <c r="C48" s="24">
        <f t="shared" si="3"/>
        <v>0</v>
      </c>
      <c r="D48" s="554"/>
      <c r="E48" s="25"/>
      <c r="F48" s="629"/>
      <c r="G48" s="631"/>
      <c r="H48" s="28" t="str">
        <f t="shared" si="4"/>
        <v/>
      </c>
      <c r="I48" s="645"/>
      <c r="J48" s="640" t="str">
        <f t="shared" si="5"/>
        <v/>
      </c>
      <c r="K48" s="627"/>
      <c r="L48" s="655"/>
      <c r="M48" s="631"/>
      <c r="N48" s="655"/>
      <c r="O48" s="631"/>
      <c r="P48" s="655"/>
      <c r="Q48" s="631"/>
      <c r="R48" s="655"/>
      <c r="S48" s="631"/>
      <c r="T48" s="655"/>
      <c r="U48" s="631" t="str">
        <f t="shared" si="7"/>
        <v/>
      </c>
      <c r="V48" s="655">
        <f t="shared" si="6"/>
        <v>0</v>
      </c>
    </row>
    <row r="49" spans="1:22" ht="12" customHeight="1">
      <c r="A49" s="532"/>
      <c r="B49" s="24">
        <f t="shared" si="2"/>
        <v>0</v>
      </c>
      <c r="C49" s="24">
        <f t="shared" si="3"/>
        <v>0</v>
      </c>
      <c r="D49" s="554"/>
      <c r="E49" s="25"/>
      <c r="F49" s="629"/>
      <c r="G49" s="631"/>
      <c r="H49" s="28" t="str">
        <f t="shared" si="4"/>
        <v/>
      </c>
      <c r="I49" s="645"/>
      <c r="J49" s="640" t="str">
        <f t="shared" si="5"/>
        <v/>
      </c>
      <c r="K49" s="627"/>
      <c r="L49" s="655"/>
      <c r="M49" s="631"/>
      <c r="N49" s="655"/>
      <c r="O49" s="631"/>
      <c r="P49" s="655"/>
      <c r="Q49" s="631"/>
      <c r="R49" s="655"/>
      <c r="S49" s="631"/>
      <c r="T49" s="655"/>
      <c r="U49" s="631" t="str">
        <f t="shared" si="7"/>
        <v/>
      </c>
      <c r="V49" s="655">
        <f t="shared" si="6"/>
        <v>0</v>
      </c>
    </row>
    <row r="50" spans="1:22" ht="12" customHeight="1">
      <c r="A50" s="532"/>
      <c r="B50" s="24">
        <f t="shared" si="2"/>
        <v>0</v>
      </c>
      <c r="C50" s="24">
        <f t="shared" si="3"/>
        <v>0</v>
      </c>
      <c r="D50" s="554"/>
      <c r="E50" s="25"/>
      <c r="F50" s="629"/>
      <c r="G50" s="631"/>
      <c r="H50" s="28" t="str">
        <f t="shared" si="4"/>
        <v/>
      </c>
      <c r="I50" s="645"/>
      <c r="J50" s="640" t="str">
        <f t="shared" si="5"/>
        <v/>
      </c>
      <c r="K50" s="627"/>
      <c r="L50" s="655"/>
      <c r="M50" s="631"/>
      <c r="N50" s="655"/>
      <c r="O50" s="631"/>
      <c r="P50" s="655"/>
      <c r="Q50" s="631"/>
      <c r="R50" s="655"/>
      <c r="S50" s="631"/>
      <c r="T50" s="655"/>
      <c r="U50" s="631" t="str">
        <f t="shared" si="7"/>
        <v/>
      </c>
      <c r="V50" s="655">
        <f t="shared" si="6"/>
        <v>0</v>
      </c>
    </row>
    <row r="51" spans="1:22" ht="12" customHeight="1">
      <c r="A51" s="532"/>
      <c r="B51" s="24">
        <f t="shared" si="2"/>
        <v>0</v>
      </c>
      <c r="C51" s="24">
        <f t="shared" si="3"/>
        <v>0</v>
      </c>
      <c r="D51" s="554"/>
      <c r="E51" s="25"/>
      <c r="F51" s="629"/>
      <c r="G51" s="631"/>
      <c r="H51" s="28" t="str">
        <f t="shared" si="4"/>
        <v/>
      </c>
      <c r="I51" s="645"/>
      <c r="J51" s="640" t="str">
        <f t="shared" si="5"/>
        <v/>
      </c>
      <c r="K51" s="627"/>
      <c r="L51" s="655"/>
      <c r="M51" s="631"/>
      <c r="N51" s="655"/>
      <c r="O51" s="631"/>
      <c r="P51" s="655"/>
      <c r="Q51" s="631"/>
      <c r="R51" s="655"/>
      <c r="S51" s="631"/>
      <c r="T51" s="655"/>
      <c r="U51" s="631" t="str">
        <f t="shared" si="7"/>
        <v/>
      </c>
      <c r="V51" s="655">
        <f t="shared" si="6"/>
        <v>0</v>
      </c>
    </row>
    <row r="52" spans="1:22" ht="12" customHeight="1">
      <c r="A52" s="532"/>
      <c r="B52" s="24">
        <f t="shared" si="2"/>
        <v>0</v>
      </c>
      <c r="C52" s="24">
        <f t="shared" si="3"/>
        <v>0</v>
      </c>
      <c r="D52" s="554"/>
      <c r="E52" s="25"/>
      <c r="F52" s="629"/>
      <c r="G52" s="631"/>
      <c r="H52" s="28" t="str">
        <f t="shared" si="4"/>
        <v/>
      </c>
      <c r="I52" s="645"/>
      <c r="J52" s="640" t="str">
        <f t="shared" si="5"/>
        <v/>
      </c>
      <c r="K52" s="627"/>
      <c r="L52" s="655"/>
      <c r="M52" s="631"/>
      <c r="N52" s="655"/>
      <c r="O52" s="631"/>
      <c r="P52" s="655"/>
      <c r="Q52" s="631"/>
      <c r="R52" s="655"/>
      <c r="S52" s="631"/>
      <c r="T52" s="655"/>
      <c r="U52" s="631" t="str">
        <f t="shared" si="7"/>
        <v/>
      </c>
      <c r="V52" s="655">
        <f t="shared" si="6"/>
        <v>0</v>
      </c>
    </row>
    <row r="53" spans="1:22" ht="12" customHeight="1">
      <c r="A53" s="532"/>
      <c r="B53" s="24">
        <f t="shared" si="2"/>
        <v>0</v>
      </c>
      <c r="C53" s="24">
        <f t="shared" si="3"/>
        <v>0</v>
      </c>
      <c r="D53" s="554"/>
      <c r="E53" s="25"/>
      <c r="F53" s="629"/>
      <c r="G53" s="631"/>
      <c r="H53" s="28" t="str">
        <f t="shared" si="4"/>
        <v/>
      </c>
      <c r="I53" s="645"/>
      <c r="J53" s="640" t="str">
        <f t="shared" si="5"/>
        <v/>
      </c>
      <c r="K53" s="627"/>
      <c r="L53" s="655"/>
      <c r="M53" s="631"/>
      <c r="N53" s="655"/>
      <c r="O53" s="631"/>
      <c r="P53" s="655"/>
      <c r="Q53" s="631"/>
      <c r="R53" s="655"/>
      <c r="S53" s="631"/>
      <c r="T53" s="655"/>
      <c r="U53" s="631" t="str">
        <f t="shared" si="7"/>
        <v/>
      </c>
      <c r="V53" s="655">
        <f t="shared" si="6"/>
        <v>0</v>
      </c>
    </row>
    <row r="54" spans="1:22" ht="12" customHeight="1">
      <c r="A54" s="532"/>
      <c r="B54" s="24">
        <f t="shared" si="2"/>
        <v>0</v>
      </c>
      <c r="C54" s="24">
        <f t="shared" si="3"/>
        <v>0</v>
      </c>
      <c r="D54" s="554"/>
      <c r="E54" s="25"/>
      <c r="F54" s="629"/>
      <c r="G54" s="631"/>
      <c r="H54" s="28" t="str">
        <f t="shared" si="4"/>
        <v/>
      </c>
      <c r="I54" s="645"/>
      <c r="J54" s="640" t="str">
        <f t="shared" si="5"/>
        <v/>
      </c>
      <c r="K54" s="627"/>
      <c r="L54" s="655"/>
      <c r="M54" s="631"/>
      <c r="N54" s="655"/>
      <c r="O54" s="631"/>
      <c r="P54" s="655"/>
      <c r="Q54" s="631"/>
      <c r="R54" s="655"/>
      <c r="S54" s="631"/>
      <c r="T54" s="655"/>
      <c r="U54" s="631" t="str">
        <f t="shared" si="7"/>
        <v/>
      </c>
      <c r="V54" s="655">
        <f t="shared" si="6"/>
        <v>0</v>
      </c>
    </row>
    <row r="55" spans="1:22" ht="12" customHeight="1">
      <c r="A55" s="532"/>
      <c r="B55" s="24">
        <f t="shared" si="2"/>
        <v>0</v>
      </c>
      <c r="C55" s="24">
        <f t="shared" si="3"/>
        <v>0</v>
      </c>
      <c r="D55" s="554"/>
      <c r="E55" s="25"/>
      <c r="F55" s="629"/>
      <c r="G55" s="631"/>
      <c r="H55" s="28" t="str">
        <f t="shared" si="4"/>
        <v/>
      </c>
      <c r="I55" s="645"/>
      <c r="J55" s="640" t="str">
        <f t="shared" si="5"/>
        <v/>
      </c>
      <c r="K55" s="627"/>
      <c r="L55" s="655"/>
      <c r="M55" s="631"/>
      <c r="N55" s="655"/>
      <c r="O55" s="631"/>
      <c r="P55" s="655"/>
      <c r="Q55" s="631"/>
      <c r="R55" s="655"/>
      <c r="S55" s="631"/>
      <c r="T55" s="655"/>
      <c r="U55" s="631" t="str">
        <f t="shared" si="7"/>
        <v/>
      </c>
      <c r="V55" s="655">
        <f t="shared" si="6"/>
        <v>0</v>
      </c>
    </row>
    <row r="56" spans="1:22" ht="12" customHeight="1">
      <c r="A56" s="532"/>
      <c r="B56" s="24">
        <f t="shared" si="2"/>
        <v>0</v>
      </c>
      <c r="C56" s="24">
        <f t="shared" si="3"/>
        <v>0</v>
      </c>
      <c r="D56" s="554"/>
      <c r="E56" s="25"/>
      <c r="F56" s="629"/>
      <c r="G56" s="631"/>
      <c r="H56" s="28" t="str">
        <f t="shared" si="4"/>
        <v/>
      </c>
      <c r="I56" s="645"/>
      <c r="J56" s="640" t="str">
        <f t="shared" si="5"/>
        <v/>
      </c>
      <c r="K56" s="627"/>
      <c r="L56" s="655"/>
      <c r="M56" s="631"/>
      <c r="N56" s="655"/>
      <c r="O56" s="631"/>
      <c r="P56" s="655"/>
      <c r="Q56" s="631"/>
      <c r="R56" s="655"/>
      <c r="S56" s="631"/>
      <c r="T56" s="655"/>
      <c r="U56" s="631" t="str">
        <f t="shared" si="7"/>
        <v/>
      </c>
      <c r="V56" s="655">
        <f t="shared" si="6"/>
        <v>0</v>
      </c>
    </row>
    <row r="57" spans="1:22" ht="12" customHeight="1">
      <c r="A57" s="532"/>
      <c r="B57" s="24">
        <f t="shared" si="2"/>
        <v>0</v>
      </c>
      <c r="C57" s="24">
        <f t="shared" si="3"/>
        <v>0</v>
      </c>
      <c r="D57" s="554"/>
      <c r="E57" s="25"/>
      <c r="F57" s="629"/>
      <c r="G57" s="631"/>
      <c r="H57" s="28" t="str">
        <f t="shared" si="4"/>
        <v/>
      </c>
      <c r="I57" s="645"/>
      <c r="J57" s="640" t="str">
        <f t="shared" si="5"/>
        <v/>
      </c>
      <c r="K57" s="627"/>
      <c r="L57" s="655"/>
      <c r="M57" s="631"/>
      <c r="N57" s="655"/>
      <c r="O57" s="631"/>
      <c r="P57" s="655"/>
      <c r="Q57" s="631"/>
      <c r="R57" s="655"/>
      <c r="S57" s="631"/>
      <c r="T57" s="655"/>
      <c r="U57" s="631" t="str">
        <f t="shared" si="7"/>
        <v/>
      </c>
      <c r="V57" s="655">
        <f t="shared" si="6"/>
        <v>0</v>
      </c>
    </row>
    <row r="58" spans="1:22" ht="12" customHeight="1">
      <c r="A58" s="532"/>
      <c r="B58" s="24">
        <f t="shared" si="2"/>
        <v>0</v>
      </c>
      <c r="C58" s="24">
        <f t="shared" si="3"/>
        <v>0</v>
      </c>
      <c r="D58" s="554"/>
      <c r="E58" s="25"/>
      <c r="F58" s="629"/>
      <c r="G58" s="631"/>
      <c r="H58" s="28" t="str">
        <f t="shared" si="4"/>
        <v/>
      </c>
      <c r="I58" s="645"/>
      <c r="J58" s="640" t="str">
        <f t="shared" si="5"/>
        <v/>
      </c>
      <c r="K58" s="627"/>
      <c r="L58" s="655"/>
      <c r="M58" s="631"/>
      <c r="N58" s="655"/>
      <c r="O58" s="631"/>
      <c r="P58" s="655"/>
      <c r="Q58" s="631"/>
      <c r="R58" s="655"/>
      <c r="S58" s="631"/>
      <c r="T58" s="655"/>
      <c r="U58" s="631" t="str">
        <f t="shared" si="7"/>
        <v/>
      </c>
      <c r="V58" s="655">
        <f t="shared" si="6"/>
        <v>0</v>
      </c>
    </row>
    <row r="59" spans="1:22" ht="12" customHeight="1">
      <c r="A59" s="532"/>
      <c r="B59" s="24">
        <f t="shared" si="2"/>
        <v>0</v>
      </c>
      <c r="C59" s="24">
        <f t="shared" si="3"/>
        <v>0</v>
      </c>
      <c r="D59" s="554"/>
      <c r="E59" s="25"/>
      <c r="F59" s="629"/>
      <c r="G59" s="631"/>
      <c r="H59" s="28" t="str">
        <f t="shared" si="4"/>
        <v/>
      </c>
      <c r="I59" s="645"/>
      <c r="J59" s="640" t="str">
        <f t="shared" si="5"/>
        <v/>
      </c>
      <c r="K59" s="627"/>
      <c r="L59" s="655"/>
      <c r="M59" s="631"/>
      <c r="N59" s="655"/>
      <c r="O59" s="631"/>
      <c r="P59" s="655"/>
      <c r="Q59" s="631"/>
      <c r="R59" s="655"/>
      <c r="S59" s="631"/>
      <c r="T59" s="655"/>
      <c r="U59" s="631" t="str">
        <f t="shared" si="7"/>
        <v/>
      </c>
      <c r="V59" s="655">
        <f t="shared" si="6"/>
        <v>0</v>
      </c>
    </row>
    <row r="60" spans="1:22" ht="12" customHeight="1">
      <c r="A60" s="532"/>
      <c r="B60" s="24">
        <f t="shared" si="2"/>
        <v>0</v>
      </c>
      <c r="C60" s="24">
        <f t="shared" si="3"/>
        <v>0</v>
      </c>
      <c r="D60" s="554"/>
      <c r="E60" s="25"/>
      <c r="F60" s="629"/>
      <c r="G60" s="631"/>
      <c r="H60" s="28" t="str">
        <f>IFERROR(G60/E60,"")</f>
        <v/>
      </c>
      <c r="I60" s="645"/>
      <c r="J60" s="640" t="str">
        <f>IFERROR(I60/F60,"")</f>
        <v/>
      </c>
      <c r="K60" s="627"/>
      <c r="L60" s="655"/>
      <c r="M60" s="631"/>
      <c r="N60" s="655"/>
      <c r="O60" s="631"/>
      <c r="P60" s="655"/>
      <c r="Q60" s="631"/>
      <c r="R60" s="655"/>
      <c r="S60" s="631"/>
      <c r="T60" s="655"/>
      <c r="U60" s="631" t="str">
        <f t="shared" si="7"/>
        <v/>
      </c>
      <c r="V60" s="655">
        <f>I60-L60-N60-P60-R60-T60</f>
        <v>0</v>
      </c>
    </row>
    <row r="61" spans="1:22" ht="12" customHeight="1">
      <c r="A61" s="532"/>
      <c r="B61" s="24">
        <f t="shared" si="2"/>
        <v>0</v>
      </c>
      <c r="C61" s="24">
        <f t="shared" si="3"/>
        <v>0</v>
      </c>
      <c r="D61" s="554"/>
      <c r="E61" s="25"/>
      <c r="F61" s="629"/>
      <c r="G61" s="631"/>
      <c r="H61" s="28" t="str">
        <f>IFERROR(G61/E61,"")</f>
        <v/>
      </c>
      <c r="I61" s="645"/>
      <c r="J61" s="640" t="str">
        <f>IFERROR(I61/F61,"")</f>
        <v/>
      </c>
      <c r="K61" s="627"/>
      <c r="L61" s="655"/>
      <c r="M61" s="631"/>
      <c r="N61" s="655"/>
      <c r="O61" s="631"/>
      <c r="P61" s="655"/>
      <c r="Q61" s="631"/>
      <c r="R61" s="655"/>
      <c r="S61" s="631"/>
      <c r="T61" s="655"/>
      <c r="U61" s="631" t="str">
        <f t="shared" si="7"/>
        <v/>
      </c>
      <c r="V61" s="655">
        <f>I61-L61-N61-P61-R61-T61</f>
        <v>0</v>
      </c>
    </row>
  </sheetData>
  <sheetProtection sheet="1" objects="1" scenarios="1"/>
  <mergeCells count="18">
    <mergeCell ref="D2:R3"/>
    <mergeCell ref="D4:F4"/>
    <mergeCell ref="G4:J4"/>
    <mergeCell ref="K4:L4"/>
    <mergeCell ref="M4:N4"/>
    <mergeCell ref="O4:P4"/>
    <mergeCell ref="Q4:R4"/>
    <mergeCell ref="U4:V4"/>
    <mergeCell ref="U6:U7"/>
    <mergeCell ref="H6:H7"/>
    <mergeCell ref="S4:T4"/>
    <mergeCell ref="E6:E7"/>
    <mergeCell ref="G6:G7"/>
    <mergeCell ref="K6:K7"/>
    <mergeCell ref="M6:M7"/>
    <mergeCell ref="O6:O7"/>
    <mergeCell ref="Q6:Q7"/>
    <mergeCell ref="S6:S7"/>
  </mergeCells>
  <conditionalFormatting sqref="K9:K60">
    <cfRule type="colorScale" priority="6">
      <colorScale>
        <cfvo type="min"/>
        <cfvo type="percentile" val="50"/>
        <cfvo type="max"/>
        <color rgb="FFF8696B"/>
        <color rgb="FFFCFCFF"/>
        <color rgb="FF63BE7B"/>
      </colorScale>
    </cfRule>
  </conditionalFormatting>
  <conditionalFormatting sqref="M9:M60">
    <cfRule type="colorScale" priority="5">
      <colorScale>
        <cfvo type="min"/>
        <cfvo type="percentile" val="50"/>
        <cfvo type="max"/>
        <color rgb="FFF8696B"/>
        <color rgb="FFFCFCFF"/>
        <color rgb="FF63BE7B"/>
      </colorScale>
    </cfRule>
  </conditionalFormatting>
  <conditionalFormatting sqref="O9:O60">
    <cfRule type="colorScale" priority="4">
      <colorScale>
        <cfvo type="min"/>
        <cfvo type="percentile" val="50"/>
        <cfvo type="max"/>
        <color rgb="FFF8696B"/>
        <color rgb="FFFCFCFF"/>
        <color rgb="FF63BE7B"/>
      </colorScale>
    </cfRule>
  </conditionalFormatting>
  <conditionalFormatting sqref="Q9:Q60">
    <cfRule type="colorScale" priority="3">
      <colorScale>
        <cfvo type="min"/>
        <cfvo type="percentile" val="50"/>
        <cfvo type="max"/>
        <color rgb="FFF8696B"/>
        <color rgb="FFFCFCFF"/>
        <color rgb="FF63BE7B"/>
      </colorScale>
    </cfRule>
  </conditionalFormatting>
  <conditionalFormatting sqref="S9:S60">
    <cfRule type="colorScale" priority="2">
      <colorScale>
        <cfvo type="min"/>
        <cfvo type="percentile" val="50"/>
        <cfvo type="max"/>
        <color rgb="FFF8696B"/>
        <color rgb="FFFCFCFF"/>
        <color rgb="FF63BE7B"/>
      </colorScale>
    </cfRule>
  </conditionalFormatting>
  <conditionalFormatting sqref="U8:U60">
    <cfRule type="colorScale" priority="1">
      <colorScale>
        <cfvo type="min"/>
        <cfvo type="percentile" val="50"/>
        <cfvo type="max"/>
        <color rgb="FFF8696B"/>
        <color rgb="FFFCFCFF"/>
        <color rgb="FF63BE7B"/>
      </colorScale>
    </cfRule>
  </conditionalFormatting>
  <pageMargins left="0.70866141732283472" right="0.70866141732283472" top="0.74803149606299213" bottom="0.74803149606299213" header="0.31496062992125984" footer="0.31496062992125984"/>
  <pageSetup paperSize="9" scale="68" orientation="landscape" r:id="rId1"/>
  <headerFooter>
    <oddFooter>&amp;L&amp;1#&amp;"Calibri"&amp;8 Classification: Open</oddFooter>
  </headerFooter>
  <colBreaks count="1" manualBreakCount="1">
    <brk id="22" max="1048575" man="1"/>
  </col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tabColor rgb="FFC00000"/>
  </sheetPr>
  <dimension ref="A1:V58"/>
  <sheetViews>
    <sheetView zoomScaleNormal="100" workbookViewId="0">
      <selection activeCell="C9" sqref="C9"/>
    </sheetView>
  </sheetViews>
  <sheetFormatPr baseColWidth="10" defaultColWidth="11.42578125" defaultRowHeight="15"/>
  <cols>
    <col min="1" max="1" width="4.28515625" customWidth="1"/>
    <col min="6" max="6" width="12.85546875" bestFit="1" customWidth="1"/>
    <col min="7" max="7" width="0" hidden="1" customWidth="1"/>
    <col min="8" max="8" width="5.85546875" customWidth="1"/>
    <col min="10" max="10" width="22.7109375" bestFit="1" customWidth="1"/>
    <col min="14" max="15" width="13.5703125" style="3" customWidth="1"/>
    <col min="16" max="16" width="55.140625" bestFit="1" customWidth="1"/>
  </cols>
  <sheetData>
    <row r="1" spans="1:22" ht="30" customHeight="1">
      <c r="A1" s="77"/>
      <c r="B1" s="79" t="str">
        <f>sysX!A2</f>
        <v>4301</v>
      </c>
      <c r="C1" s="79" t="str">
        <f>sysX!A4</f>
        <v>BERJASEN</v>
      </c>
      <c r="D1" s="81" t="str">
        <f>sysX!A6</f>
        <v>2019</v>
      </c>
      <c r="E1" s="77"/>
      <c r="F1" s="77"/>
      <c r="G1" s="77"/>
      <c r="H1" s="634"/>
      <c r="I1" s="641"/>
      <c r="J1" s="636"/>
      <c r="K1" s="520"/>
      <c r="L1" s="77"/>
      <c r="M1" s="77"/>
      <c r="N1" s="83"/>
      <c r="O1" s="531"/>
      <c r="P1" s="531"/>
      <c r="Q1" s="77"/>
      <c r="R1" s="77"/>
      <c r="S1" s="77"/>
      <c r="T1" s="77"/>
      <c r="U1" s="501"/>
      <c r="V1" s="501"/>
    </row>
    <row r="2" spans="1:22" ht="15.75" thickBot="1">
      <c r="A2" s="11"/>
      <c r="B2" s="11"/>
      <c r="C2" s="11"/>
      <c r="D2" s="616"/>
      <c r="E2" s="616"/>
      <c r="F2" s="616"/>
      <c r="G2" s="616"/>
      <c r="H2" s="616"/>
      <c r="I2" s="616"/>
      <c r="J2" s="616"/>
      <c r="K2" s="616"/>
      <c r="L2" s="616"/>
      <c r="M2" s="616"/>
      <c r="N2" s="616"/>
      <c r="O2" s="616"/>
      <c r="P2" s="616"/>
      <c r="Q2" s="616"/>
      <c r="R2" s="616"/>
      <c r="S2" s="616"/>
      <c r="T2" s="616"/>
      <c r="U2" s="650"/>
      <c r="V2" s="650"/>
    </row>
    <row r="3" spans="1:22" ht="16.5" thickBot="1">
      <c r="A3" s="676">
        <v>4</v>
      </c>
      <c r="B3" s="12"/>
      <c r="C3" s="12"/>
      <c r="D3" s="616"/>
      <c r="E3" s="881" t="s">
        <v>400</v>
      </c>
      <c r="F3" s="881"/>
      <c r="G3" s="617"/>
      <c r="H3" s="617"/>
      <c r="I3" s="668" t="s">
        <v>0</v>
      </c>
      <c r="J3" s="667">
        <v>47</v>
      </c>
      <c r="K3" s="617"/>
      <c r="L3" s="617"/>
      <c r="M3" s="617"/>
      <c r="N3" s="617"/>
      <c r="O3" s="617"/>
      <c r="P3" s="617"/>
      <c r="Q3" s="617"/>
      <c r="R3" s="617"/>
      <c r="S3" s="617"/>
      <c r="T3" s="617"/>
      <c r="U3" s="651"/>
      <c r="V3" s="651"/>
    </row>
    <row r="4" spans="1:22" s="660" customFormat="1" ht="15" customHeight="1">
      <c r="A4" s="669"/>
      <c r="B4" s="670" t="s">
        <v>392</v>
      </c>
      <c r="C4" s="670" t="s">
        <v>393</v>
      </c>
      <c r="D4" s="670" t="s">
        <v>394</v>
      </c>
      <c r="E4" s="670" t="s">
        <v>395</v>
      </c>
      <c r="F4" s="672" t="s">
        <v>396</v>
      </c>
      <c r="G4" s="659"/>
      <c r="H4" s="659"/>
      <c r="I4" s="669" t="s">
        <v>40</v>
      </c>
      <c r="J4" s="670" t="s">
        <v>397</v>
      </c>
      <c r="K4" s="670" t="s">
        <v>392</v>
      </c>
      <c r="L4" s="670" t="s">
        <v>393</v>
      </c>
      <c r="M4" s="670" t="s">
        <v>394</v>
      </c>
      <c r="N4" s="671" t="s">
        <v>398</v>
      </c>
      <c r="O4" s="671" t="s">
        <v>396</v>
      </c>
      <c r="P4" s="672" t="s">
        <v>399</v>
      </c>
      <c r="Q4" s="659"/>
      <c r="R4" s="659"/>
      <c r="S4" s="659"/>
      <c r="T4" s="659"/>
      <c r="U4" s="659"/>
      <c r="V4" s="659"/>
    </row>
    <row r="5" spans="1:22" ht="12" customHeight="1">
      <c r="A5" s="532">
        <v>1</v>
      </c>
      <c r="B5" s="25">
        <v>434441</v>
      </c>
      <c r="C5" s="658">
        <v>-23004</v>
      </c>
      <c r="D5" s="658">
        <v>-1548</v>
      </c>
      <c r="E5" s="678">
        <f>IFERROR(D5/B5,"")</f>
        <v>-3.5631996059303796E-3</v>
      </c>
      <c r="F5" s="679">
        <f>IFERROR(D5/C5,"")</f>
        <v>6.729264475743349E-2</v>
      </c>
      <c r="G5" s="657"/>
      <c r="H5" s="661"/>
      <c r="I5" s="675"/>
      <c r="J5" s="181"/>
      <c r="K5" s="665"/>
      <c r="L5" s="666"/>
      <c r="M5" s="666"/>
      <c r="N5" s="673" t="str">
        <f>IFERROR(M5/K5,"")</f>
        <v/>
      </c>
      <c r="O5" s="673" t="str">
        <f>IFERROR(M5/L5,"")</f>
        <v/>
      </c>
      <c r="P5" s="674"/>
      <c r="Q5" s="657"/>
      <c r="R5" s="657"/>
      <c r="S5" s="657"/>
      <c r="T5" s="657"/>
      <c r="U5" s="657"/>
      <c r="V5" s="657"/>
    </row>
    <row r="6" spans="1:22" ht="12" customHeight="1">
      <c r="A6" s="532">
        <v>2</v>
      </c>
      <c r="B6" s="25"/>
      <c r="C6" s="658"/>
      <c r="D6" s="658"/>
      <c r="E6" s="678" t="str">
        <f t="shared" ref="E6:E56" si="0">IFERROR(D6/B6,"")</f>
        <v/>
      </c>
      <c r="F6" s="679" t="str">
        <f t="shared" ref="F6:F56" si="1">IFERROR(D6/C6,"")</f>
        <v/>
      </c>
      <c r="G6" s="657"/>
      <c r="H6" s="661"/>
      <c r="I6" s="675"/>
      <c r="J6" s="181"/>
      <c r="K6" s="665"/>
      <c r="L6" s="666"/>
      <c r="M6" s="666"/>
      <c r="N6" s="673" t="str">
        <f t="shared" ref="N6:N43" si="2">IFERROR(M6/K6,"")</f>
        <v/>
      </c>
      <c r="O6" s="673" t="str">
        <f t="shared" ref="O6:O43" si="3">IFERROR(M6/L6,"")</f>
        <v/>
      </c>
      <c r="P6" s="674"/>
      <c r="Q6" s="657"/>
      <c r="R6" s="657"/>
      <c r="S6" s="657"/>
      <c r="T6" s="657"/>
      <c r="U6" s="657"/>
      <c r="V6" s="657"/>
    </row>
    <row r="7" spans="1:22" ht="12" customHeight="1">
      <c r="A7" s="532">
        <v>3</v>
      </c>
      <c r="B7" s="25"/>
      <c r="C7" s="658"/>
      <c r="D7" s="658"/>
      <c r="E7" s="678" t="str">
        <f t="shared" si="0"/>
        <v/>
      </c>
      <c r="F7" s="679" t="str">
        <f t="shared" si="1"/>
        <v/>
      </c>
      <c r="G7" s="657"/>
      <c r="H7" s="661"/>
      <c r="I7" s="675"/>
      <c r="J7" s="181"/>
      <c r="K7" s="665"/>
      <c r="L7" s="666"/>
      <c r="M7" s="666"/>
      <c r="N7" s="673" t="str">
        <f t="shared" si="2"/>
        <v/>
      </c>
      <c r="O7" s="673" t="str">
        <f t="shared" si="3"/>
        <v/>
      </c>
      <c r="P7" s="674"/>
      <c r="Q7" s="657"/>
      <c r="R7" s="657"/>
      <c r="S7" s="657"/>
      <c r="T7" s="657"/>
      <c r="U7" s="657"/>
      <c r="V7" s="657"/>
    </row>
    <row r="8" spans="1:22" ht="12" customHeight="1">
      <c r="A8" s="532">
        <v>4</v>
      </c>
      <c r="B8" s="25"/>
      <c r="C8" s="658"/>
      <c r="D8" s="658"/>
      <c r="E8" s="678" t="str">
        <f t="shared" si="0"/>
        <v/>
      </c>
      <c r="F8" s="679" t="str">
        <f t="shared" si="1"/>
        <v/>
      </c>
      <c r="G8" s="657"/>
      <c r="H8" s="661"/>
      <c r="I8" s="675"/>
      <c r="J8" s="181"/>
      <c r="K8" s="665"/>
      <c r="L8" s="666"/>
      <c r="M8" s="666"/>
      <c r="N8" s="673" t="str">
        <f t="shared" si="2"/>
        <v/>
      </c>
      <c r="O8" s="673" t="str">
        <f t="shared" si="3"/>
        <v/>
      </c>
      <c r="P8" s="674"/>
      <c r="Q8" s="657"/>
      <c r="R8" s="657"/>
      <c r="S8" s="657"/>
      <c r="T8" s="657"/>
      <c r="U8" s="657"/>
      <c r="V8" s="657"/>
    </row>
    <row r="9" spans="1:22" ht="12" customHeight="1">
      <c r="A9" s="532">
        <v>5</v>
      </c>
      <c r="B9" s="25"/>
      <c r="C9" s="658"/>
      <c r="D9" s="658"/>
      <c r="E9" s="678" t="str">
        <f t="shared" si="0"/>
        <v/>
      </c>
      <c r="F9" s="679" t="str">
        <f t="shared" si="1"/>
        <v/>
      </c>
      <c r="G9" s="657"/>
      <c r="H9" s="661"/>
      <c r="I9" s="675"/>
      <c r="J9" s="181"/>
      <c r="K9" s="665"/>
      <c r="L9" s="666"/>
      <c r="M9" s="666"/>
      <c r="N9" s="673" t="str">
        <f t="shared" si="2"/>
        <v/>
      </c>
      <c r="O9" s="673" t="str">
        <f t="shared" si="3"/>
        <v/>
      </c>
      <c r="P9" s="674"/>
      <c r="Q9" s="657"/>
      <c r="R9" s="657"/>
      <c r="S9" s="657"/>
      <c r="T9" s="657"/>
      <c r="U9" s="657"/>
      <c r="V9" s="657"/>
    </row>
    <row r="10" spans="1:22" ht="12" customHeight="1">
      <c r="A10" s="532">
        <v>6</v>
      </c>
      <c r="B10" s="25"/>
      <c r="C10" s="658"/>
      <c r="D10" s="658"/>
      <c r="E10" s="678" t="str">
        <f t="shared" si="0"/>
        <v/>
      </c>
      <c r="F10" s="679" t="str">
        <f t="shared" si="1"/>
        <v/>
      </c>
      <c r="G10" s="657"/>
      <c r="H10" s="661"/>
      <c r="I10" s="675"/>
      <c r="J10" s="181"/>
      <c r="K10" s="665"/>
      <c r="L10" s="666"/>
      <c r="M10" s="666"/>
      <c r="N10" s="673" t="str">
        <f t="shared" si="2"/>
        <v/>
      </c>
      <c r="O10" s="673" t="str">
        <f t="shared" si="3"/>
        <v/>
      </c>
      <c r="P10" s="674"/>
      <c r="Q10" s="657"/>
      <c r="R10" s="657"/>
      <c r="S10" s="657"/>
      <c r="T10" s="657"/>
      <c r="U10" s="657"/>
      <c r="V10" s="657"/>
    </row>
    <row r="11" spans="1:22" ht="12" customHeight="1">
      <c r="A11" s="532">
        <v>7</v>
      </c>
      <c r="B11" s="25"/>
      <c r="C11" s="658"/>
      <c r="D11" s="658"/>
      <c r="E11" s="678" t="str">
        <f t="shared" si="0"/>
        <v/>
      </c>
      <c r="F11" s="679" t="str">
        <f t="shared" si="1"/>
        <v/>
      </c>
      <c r="G11" s="657"/>
      <c r="H11" s="661"/>
      <c r="I11" s="675"/>
      <c r="J11" s="181"/>
      <c r="K11" s="665"/>
      <c r="L11" s="666"/>
      <c r="M11" s="666"/>
      <c r="N11" s="673" t="str">
        <f t="shared" si="2"/>
        <v/>
      </c>
      <c r="O11" s="673" t="str">
        <f t="shared" si="3"/>
        <v/>
      </c>
      <c r="P11" s="674"/>
      <c r="Q11" s="657"/>
      <c r="R11" s="657"/>
      <c r="S11" s="657"/>
      <c r="T11" s="657"/>
      <c r="U11" s="657"/>
      <c r="V11" s="657"/>
    </row>
    <row r="12" spans="1:22" ht="12" customHeight="1">
      <c r="A12" s="532">
        <v>8</v>
      </c>
      <c r="B12" s="25"/>
      <c r="C12" s="658"/>
      <c r="D12" s="658"/>
      <c r="E12" s="678" t="str">
        <f t="shared" si="0"/>
        <v/>
      </c>
      <c r="F12" s="679" t="str">
        <f t="shared" si="1"/>
        <v/>
      </c>
      <c r="G12" s="657"/>
      <c r="H12" s="661"/>
      <c r="I12" s="675"/>
      <c r="J12" s="181"/>
      <c r="K12" s="665"/>
      <c r="L12" s="666"/>
      <c r="M12" s="666"/>
      <c r="N12" s="673" t="str">
        <f t="shared" si="2"/>
        <v/>
      </c>
      <c r="O12" s="673" t="str">
        <f t="shared" si="3"/>
        <v/>
      </c>
      <c r="P12" s="674"/>
      <c r="Q12" s="657"/>
      <c r="R12" s="657"/>
      <c r="S12" s="657"/>
      <c r="T12" s="657"/>
      <c r="U12" s="657"/>
      <c r="V12" s="657"/>
    </row>
    <row r="13" spans="1:22" ht="12" customHeight="1">
      <c r="A13" s="532">
        <v>9</v>
      </c>
      <c r="B13" s="25"/>
      <c r="C13" s="658"/>
      <c r="D13" s="658"/>
      <c r="E13" s="678" t="str">
        <f t="shared" si="0"/>
        <v/>
      </c>
      <c r="F13" s="679" t="str">
        <f t="shared" si="1"/>
        <v/>
      </c>
      <c r="G13" s="657"/>
      <c r="H13" s="661"/>
      <c r="I13" s="675"/>
      <c r="J13" s="181"/>
      <c r="K13" s="665"/>
      <c r="L13" s="666"/>
      <c r="M13" s="666"/>
      <c r="N13" s="673" t="str">
        <f t="shared" si="2"/>
        <v/>
      </c>
      <c r="O13" s="673" t="str">
        <f t="shared" si="3"/>
        <v/>
      </c>
      <c r="P13" s="674"/>
      <c r="Q13" s="657"/>
      <c r="R13" s="657"/>
      <c r="S13" s="657"/>
      <c r="T13" s="657"/>
      <c r="U13" s="657"/>
      <c r="V13" s="657"/>
    </row>
    <row r="14" spans="1:22" ht="12" customHeight="1">
      <c r="A14" s="532">
        <v>10</v>
      </c>
      <c r="B14" s="25"/>
      <c r="C14" s="658"/>
      <c r="D14" s="658"/>
      <c r="E14" s="678" t="str">
        <f t="shared" si="0"/>
        <v/>
      </c>
      <c r="F14" s="679" t="str">
        <f t="shared" si="1"/>
        <v/>
      </c>
      <c r="G14" s="657"/>
      <c r="H14" s="661"/>
      <c r="I14" s="675"/>
      <c r="J14" s="181"/>
      <c r="K14" s="665"/>
      <c r="L14" s="666"/>
      <c r="M14" s="666"/>
      <c r="N14" s="673" t="str">
        <f t="shared" si="2"/>
        <v/>
      </c>
      <c r="O14" s="673" t="str">
        <f t="shared" si="3"/>
        <v/>
      </c>
      <c r="P14" s="674"/>
      <c r="Q14" s="657"/>
      <c r="R14" s="657"/>
      <c r="S14" s="657"/>
      <c r="T14" s="657"/>
      <c r="U14" s="657"/>
      <c r="V14" s="657"/>
    </row>
    <row r="15" spans="1:22" ht="12" customHeight="1">
      <c r="A15" s="532">
        <v>11</v>
      </c>
      <c r="B15" s="25"/>
      <c r="C15" s="658"/>
      <c r="D15" s="658"/>
      <c r="E15" s="678" t="str">
        <f t="shared" si="0"/>
        <v/>
      </c>
      <c r="F15" s="679" t="str">
        <f t="shared" si="1"/>
        <v/>
      </c>
      <c r="G15" s="657"/>
      <c r="H15" s="661"/>
      <c r="I15" s="675"/>
      <c r="J15" s="181"/>
      <c r="K15" s="665"/>
      <c r="L15" s="666"/>
      <c r="M15" s="666"/>
      <c r="N15" s="673" t="str">
        <f t="shared" si="2"/>
        <v/>
      </c>
      <c r="O15" s="673" t="str">
        <f t="shared" si="3"/>
        <v/>
      </c>
      <c r="P15" s="674"/>
      <c r="Q15" s="657"/>
      <c r="R15" s="657"/>
      <c r="S15" s="657"/>
      <c r="T15" s="657"/>
      <c r="U15" s="657"/>
      <c r="V15" s="657"/>
    </row>
    <row r="16" spans="1:22" ht="12" customHeight="1">
      <c r="A16" s="532">
        <v>12</v>
      </c>
      <c r="B16" s="25"/>
      <c r="C16" s="658"/>
      <c r="D16" s="658"/>
      <c r="E16" s="678" t="str">
        <f t="shared" si="0"/>
        <v/>
      </c>
      <c r="F16" s="679" t="str">
        <f t="shared" si="1"/>
        <v/>
      </c>
      <c r="G16" s="657"/>
      <c r="H16" s="661"/>
      <c r="I16" s="675"/>
      <c r="J16" s="181"/>
      <c r="K16" s="665"/>
      <c r="L16" s="666"/>
      <c r="M16" s="666"/>
      <c r="N16" s="673" t="str">
        <f t="shared" si="2"/>
        <v/>
      </c>
      <c r="O16" s="673" t="str">
        <f t="shared" si="3"/>
        <v/>
      </c>
      <c r="P16" s="674"/>
      <c r="Q16" s="657"/>
      <c r="R16" s="657"/>
      <c r="S16" s="657"/>
      <c r="T16" s="657"/>
      <c r="U16" s="657"/>
      <c r="V16" s="657"/>
    </row>
    <row r="17" spans="1:22" ht="12" customHeight="1">
      <c r="A17" s="532">
        <v>13</v>
      </c>
      <c r="B17" s="25"/>
      <c r="C17" s="658"/>
      <c r="D17" s="658"/>
      <c r="E17" s="678" t="str">
        <f t="shared" si="0"/>
        <v/>
      </c>
      <c r="F17" s="679" t="str">
        <f t="shared" si="1"/>
        <v/>
      </c>
      <c r="G17" s="657"/>
      <c r="H17" s="661"/>
      <c r="I17" s="675"/>
      <c r="J17" s="181"/>
      <c r="K17" s="665"/>
      <c r="L17" s="666"/>
      <c r="M17" s="666"/>
      <c r="N17" s="673" t="str">
        <f t="shared" si="2"/>
        <v/>
      </c>
      <c r="O17" s="673" t="str">
        <f t="shared" si="3"/>
        <v/>
      </c>
      <c r="P17" s="674"/>
      <c r="Q17" s="657"/>
      <c r="R17" s="657"/>
      <c r="S17" s="657"/>
      <c r="T17" s="657"/>
      <c r="U17" s="657"/>
      <c r="V17" s="657"/>
    </row>
    <row r="18" spans="1:22" ht="12" customHeight="1">
      <c r="A18" s="532">
        <v>14</v>
      </c>
      <c r="B18" s="25"/>
      <c r="C18" s="658"/>
      <c r="D18" s="658"/>
      <c r="E18" s="678" t="str">
        <f t="shared" si="0"/>
        <v/>
      </c>
      <c r="F18" s="679" t="str">
        <f t="shared" si="1"/>
        <v/>
      </c>
      <c r="G18" s="657"/>
      <c r="H18" s="661"/>
      <c r="I18" s="675"/>
      <c r="J18" s="181"/>
      <c r="K18" s="665"/>
      <c r="L18" s="666"/>
      <c r="M18" s="666"/>
      <c r="N18" s="673" t="str">
        <f t="shared" si="2"/>
        <v/>
      </c>
      <c r="O18" s="673" t="str">
        <f t="shared" si="3"/>
        <v/>
      </c>
      <c r="P18" s="674"/>
      <c r="Q18" s="657"/>
      <c r="R18" s="657"/>
      <c r="S18" s="657"/>
      <c r="T18" s="657"/>
      <c r="U18" s="657"/>
      <c r="V18" s="657"/>
    </row>
    <row r="19" spans="1:22" ht="12" customHeight="1">
      <c r="A19" s="532">
        <v>15</v>
      </c>
      <c r="B19" s="25"/>
      <c r="C19" s="658"/>
      <c r="D19" s="658"/>
      <c r="E19" s="678" t="str">
        <f t="shared" si="0"/>
        <v/>
      </c>
      <c r="F19" s="679" t="str">
        <f t="shared" si="1"/>
        <v/>
      </c>
      <c r="G19" s="657"/>
      <c r="H19" s="661"/>
      <c r="I19" s="675"/>
      <c r="J19" s="181"/>
      <c r="K19" s="665"/>
      <c r="L19" s="666"/>
      <c r="M19" s="666"/>
      <c r="N19" s="673" t="str">
        <f t="shared" si="2"/>
        <v/>
      </c>
      <c r="O19" s="673" t="str">
        <f t="shared" si="3"/>
        <v/>
      </c>
      <c r="P19" s="674"/>
      <c r="Q19" s="657"/>
      <c r="R19" s="657"/>
      <c r="S19" s="657"/>
      <c r="T19" s="657"/>
      <c r="U19" s="657"/>
      <c r="V19" s="657"/>
    </row>
    <row r="20" spans="1:22" ht="12" customHeight="1">
      <c r="A20" s="532">
        <v>16</v>
      </c>
      <c r="B20" s="25"/>
      <c r="C20" s="658"/>
      <c r="D20" s="658"/>
      <c r="E20" s="678" t="str">
        <f t="shared" si="0"/>
        <v/>
      </c>
      <c r="F20" s="679" t="str">
        <f t="shared" si="1"/>
        <v/>
      </c>
      <c r="G20" s="657"/>
      <c r="H20" s="661"/>
      <c r="I20" s="675"/>
      <c r="J20" s="181"/>
      <c r="K20" s="665"/>
      <c r="L20" s="666"/>
      <c r="M20" s="666"/>
      <c r="N20" s="673" t="str">
        <f t="shared" si="2"/>
        <v/>
      </c>
      <c r="O20" s="673" t="str">
        <f t="shared" si="3"/>
        <v/>
      </c>
      <c r="P20" s="674"/>
      <c r="Q20" s="657"/>
      <c r="R20" s="657"/>
      <c r="S20" s="657"/>
      <c r="T20" s="657"/>
      <c r="U20" s="657"/>
      <c r="V20" s="657"/>
    </row>
    <row r="21" spans="1:22" ht="12" customHeight="1">
      <c r="A21" s="532">
        <v>17</v>
      </c>
      <c r="B21" s="25"/>
      <c r="C21" s="658"/>
      <c r="D21" s="658"/>
      <c r="E21" s="678" t="str">
        <f t="shared" si="0"/>
        <v/>
      </c>
      <c r="F21" s="679" t="str">
        <f t="shared" si="1"/>
        <v/>
      </c>
      <c r="G21" s="657"/>
      <c r="H21" s="661"/>
      <c r="I21" s="675"/>
      <c r="J21" s="181"/>
      <c r="K21" s="665"/>
      <c r="L21" s="666"/>
      <c r="M21" s="666"/>
      <c r="N21" s="673" t="str">
        <f t="shared" si="2"/>
        <v/>
      </c>
      <c r="O21" s="673" t="str">
        <f t="shared" si="3"/>
        <v/>
      </c>
      <c r="P21" s="674"/>
      <c r="Q21" s="657"/>
      <c r="R21" s="657"/>
      <c r="S21" s="657"/>
      <c r="T21" s="657"/>
      <c r="U21" s="657"/>
      <c r="V21" s="657"/>
    </row>
    <row r="22" spans="1:22" ht="12" customHeight="1">
      <c r="A22" s="532">
        <v>18</v>
      </c>
      <c r="B22" s="25"/>
      <c r="C22" s="658"/>
      <c r="D22" s="658"/>
      <c r="E22" s="678" t="str">
        <f t="shared" si="0"/>
        <v/>
      </c>
      <c r="F22" s="679" t="str">
        <f t="shared" si="1"/>
        <v/>
      </c>
      <c r="G22" s="657"/>
      <c r="H22" s="661"/>
      <c r="I22" s="675"/>
      <c r="J22" s="181"/>
      <c r="K22" s="665"/>
      <c r="L22" s="666"/>
      <c r="M22" s="666"/>
      <c r="N22" s="673" t="str">
        <f t="shared" si="2"/>
        <v/>
      </c>
      <c r="O22" s="673" t="str">
        <f t="shared" si="3"/>
        <v/>
      </c>
      <c r="P22" s="674"/>
      <c r="Q22" s="657"/>
      <c r="R22" s="657"/>
      <c r="S22" s="657"/>
      <c r="T22" s="657"/>
      <c r="U22" s="657"/>
      <c r="V22" s="657"/>
    </row>
    <row r="23" spans="1:22" ht="12" customHeight="1">
      <c r="A23" s="532">
        <v>19</v>
      </c>
      <c r="B23" s="25"/>
      <c r="C23" s="658"/>
      <c r="D23" s="658"/>
      <c r="E23" s="678" t="str">
        <f t="shared" si="0"/>
        <v/>
      </c>
      <c r="F23" s="679" t="str">
        <f t="shared" si="1"/>
        <v/>
      </c>
      <c r="G23" s="657"/>
      <c r="H23" s="661"/>
      <c r="I23" s="675"/>
      <c r="J23" s="181"/>
      <c r="K23" s="665"/>
      <c r="L23" s="666"/>
      <c r="M23" s="666"/>
      <c r="N23" s="673" t="str">
        <f t="shared" si="2"/>
        <v/>
      </c>
      <c r="O23" s="673" t="str">
        <f t="shared" si="3"/>
        <v/>
      </c>
      <c r="P23" s="674"/>
      <c r="Q23" s="657"/>
      <c r="R23" s="657"/>
      <c r="S23" s="657"/>
      <c r="T23" s="657"/>
      <c r="U23" s="657"/>
      <c r="V23" s="657"/>
    </row>
    <row r="24" spans="1:22" ht="12" customHeight="1">
      <c r="A24" s="532">
        <v>20</v>
      </c>
      <c r="B24" s="25"/>
      <c r="C24" s="658"/>
      <c r="D24" s="658"/>
      <c r="E24" s="678" t="str">
        <f t="shared" si="0"/>
        <v/>
      </c>
      <c r="F24" s="679" t="str">
        <f t="shared" si="1"/>
        <v/>
      </c>
      <c r="G24" s="657"/>
      <c r="H24" s="661"/>
      <c r="I24" s="675"/>
      <c r="J24" s="181"/>
      <c r="K24" s="665"/>
      <c r="L24" s="666"/>
      <c r="M24" s="666"/>
      <c r="N24" s="673" t="str">
        <f t="shared" si="2"/>
        <v/>
      </c>
      <c r="O24" s="673" t="str">
        <f t="shared" si="3"/>
        <v/>
      </c>
      <c r="P24" s="674"/>
      <c r="Q24" s="657"/>
      <c r="R24" s="657"/>
      <c r="S24" s="657"/>
      <c r="T24" s="657"/>
      <c r="U24" s="657"/>
      <c r="V24" s="657"/>
    </row>
    <row r="25" spans="1:22" ht="12" customHeight="1">
      <c r="A25" s="532">
        <v>21</v>
      </c>
      <c r="B25" s="25"/>
      <c r="C25" s="658"/>
      <c r="D25" s="658"/>
      <c r="E25" s="678" t="str">
        <f t="shared" si="0"/>
        <v/>
      </c>
      <c r="F25" s="679" t="str">
        <f t="shared" si="1"/>
        <v/>
      </c>
      <c r="G25" s="657"/>
      <c r="H25" s="661"/>
      <c r="I25" s="675"/>
      <c r="J25" s="181"/>
      <c r="K25" s="665"/>
      <c r="L25" s="666"/>
      <c r="M25" s="666"/>
      <c r="N25" s="673" t="str">
        <f t="shared" si="2"/>
        <v/>
      </c>
      <c r="O25" s="673" t="str">
        <f t="shared" si="3"/>
        <v/>
      </c>
      <c r="P25" s="674"/>
      <c r="Q25" s="657"/>
      <c r="R25" s="657"/>
      <c r="S25" s="657"/>
      <c r="T25" s="657"/>
      <c r="U25" s="657"/>
      <c r="V25" s="657"/>
    </row>
    <row r="26" spans="1:22" ht="12" customHeight="1">
      <c r="A26" s="532">
        <v>22</v>
      </c>
      <c r="B26" s="25"/>
      <c r="C26" s="658"/>
      <c r="D26" s="658"/>
      <c r="E26" s="678" t="str">
        <f t="shared" si="0"/>
        <v/>
      </c>
      <c r="F26" s="679" t="str">
        <f t="shared" si="1"/>
        <v/>
      </c>
      <c r="G26" s="657"/>
      <c r="H26" s="661"/>
      <c r="I26" s="675"/>
      <c r="J26" s="181"/>
      <c r="K26" s="665"/>
      <c r="L26" s="666"/>
      <c r="M26" s="666"/>
      <c r="N26" s="673" t="str">
        <f t="shared" si="2"/>
        <v/>
      </c>
      <c r="O26" s="673" t="str">
        <f t="shared" si="3"/>
        <v/>
      </c>
      <c r="P26" s="674"/>
      <c r="Q26" s="657"/>
      <c r="R26" s="657"/>
      <c r="S26" s="657"/>
      <c r="T26" s="657"/>
      <c r="U26" s="657"/>
      <c r="V26" s="657"/>
    </row>
    <row r="27" spans="1:22" ht="12" customHeight="1">
      <c r="A27" s="532">
        <v>23</v>
      </c>
      <c r="B27" s="25"/>
      <c r="C27" s="658"/>
      <c r="D27" s="658"/>
      <c r="E27" s="678" t="str">
        <f t="shared" si="0"/>
        <v/>
      </c>
      <c r="F27" s="679" t="str">
        <f t="shared" si="1"/>
        <v/>
      </c>
      <c r="G27" s="657"/>
      <c r="H27" s="657"/>
      <c r="I27" s="675"/>
      <c r="J27" s="181"/>
      <c r="K27" s="665"/>
      <c r="L27" s="666"/>
      <c r="M27" s="666"/>
      <c r="N27" s="673" t="str">
        <f t="shared" si="2"/>
        <v/>
      </c>
      <c r="O27" s="673" t="str">
        <f t="shared" si="3"/>
        <v/>
      </c>
      <c r="P27" s="674"/>
      <c r="Q27" s="657"/>
      <c r="R27" s="657"/>
      <c r="S27" s="657"/>
      <c r="T27" s="657"/>
      <c r="U27" s="657"/>
      <c r="V27" s="657"/>
    </row>
    <row r="28" spans="1:22" ht="12" customHeight="1">
      <c r="A28" s="532">
        <v>24</v>
      </c>
      <c r="B28" s="25"/>
      <c r="C28" s="658"/>
      <c r="D28" s="658"/>
      <c r="E28" s="678" t="str">
        <f t="shared" si="0"/>
        <v/>
      </c>
      <c r="F28" s="679" t="str">
        <f t="shared" si="1"/>
        <v/>
      </c>
      <c r="G28" s="657"/>
      <c r="H28" s="657"/>
      <c r="I28" s="675"/>
      <c r="J28" s="181"/>
      <c r="K28" s="665"/>
      <c r="L28" s="666"/>
      <c r="M28" s="666"/>
      <c r="N28" s="673" t="str">
        <f t="shared" si="2"/>
        <v/>
      </c>
      <c r="O28" s="673" t="str">
        <f t="shared" si="3"/>
        <v/>
      </c>
      <c r="P28" s="674"/>
      <c r="Q28" s="657"/>
      <c r="R28" s="657"/>
      <c r="S28" s="657"/>
      <c r="T28" s="657"/>
      <c r="U28" s="657"/>
      <c r="V28" s="657"/>
    </row>
    <row r="29" spans="1:22" ht="12" customHeight="1">
      <c r="A29" s="532">
        <v>25</v>
      </c>
      <c r="B29" s="25"/>
      <c r="C29" s="658"/>
      <c r="D29" s="658"/>
      <c r="E29" s="678" t="str">
        <f t="shared" si="0"/>
        <v/>
      </c>
      <c r="F29" s="679" t="str">
        <f t="shared" si="1"/>
        <v/>
      </c>
      <c r="G29" s="657"/>
      <c r="H29" s="657"/>
      <c r="I29" s="675"/>
      <c r="J29" s="181"/>
      <c r="K29" s="665"/>
      <c r="L29" s="666"/>
      <c r="M29" s="666"/>
      <c r="N29" s="673" t="str">
        <f t="shared" si="2"/>
        <v/>
      </c>
      <c r="O29" s="673" t="str">
        <f t="shared" si="3"/>
        <v/>
      </c>
      <c r="P29" s="674"/>
      <c r="Q29" s="657"/>
      <c r="R29" s="657"/>
      <c r="S29" s="657"/>
      <c r="T29" s="657"/>
      <c r="U29" s="657"/>
      <c r="V29" s="657"/>
    </row>
    <row r="30" spans="1:22" ht="12" customHeight="1">
      <c r="A30" s="532">
        <v>26</v>
      </c>
      <c r="B30" s="25"/>
      <c r="C30" s="658"/>
      <c r="D30" s="658"/>
      <c r="E30" s="678" t="str">
        <f t="shared" si="0"/>
        <v/>
      </c>
      <c r="F30" s="679" t="str">
        <f t="shared" si="1"/>
        <v/>
      </c>
      <c r="G30" s="657"/>
      <c r="H30" s="657"/>
      <c r="I30" s="675"/>
      <c r="J30" s="181"/>
      <c r="K30" s="665"/>
      <c r="L30" s="666"/>
      <c r="M30" s="666"/>
      <c r="N30" s="673" t="str">
        <f t="shared" si="2"/>
        <v/>
      </c>
      <c r="O30" s="673" t="str">
        <f t="shared" si="3"/>
        <v/>
      </c>
      <c r="P30" s="674"/>
      <c r="Q30" s="657"/>
      <c r="R30" s="657"/>
      <c r="S30" s="657"/>
      <c r="T30" s="657"/>
      <c r="U30" s="657"/>
      <c r="V30" s="657"/>
    </row>
    <row r="31" spans="1:22" ht="12" customHeight="1">
      <c r="A31" s="532">
        <v>27</v>
      </c>
      <c r="B31" s="25"/>
      <c r="C31" s="658"/>
      <c r="D31" s="658"/>
      <c r="E31" s="678" t="str">
        <f t="shared" si="0"/>
        <v/>
      </c>
      <c r="F31" s="679" t="str">
        <f t="shared" si="1"/>
        <v/>
      </c>
      <c r="G31" s="657"/>
      <c r="H31" s="657"/>
      <c r="I31" s="675"/>
      <c r="J31" s="181"/>
      <c r="K31" s="665"/>
      <c r="L31" s="666"/>
      <c r="M31" s="666"/>
      <c r="N31" s="673" t="str">
        <f t="shared" si="2"/>
        <v/>
      </c>
      <c r="O31" s="673" t="str">
        <f t="shared" si="3"/>
        <v/>
      </c>
      <c r="P31" s="674"/>
      <c r="Q31" s="657"/>
      <c r="R31" s="657"/>
      <c r="S31" s="657"/>
      <c r="T31" s="657"/>
      <c r="U31" s="657"/>
      <c r="V31" s="657"/>
    </row>
    <row r="32" spans="1:22" ht="12" customHeight="1">
      <c r="A32" s="532">
        <v>28</v>
      </c>
      <c r="B32" s="25"/>
      <c r="C32" s="658"/>
      <c r="D32" s="658"/>
      <c r="E32" s="678" t="str">
        <f t="shared" si="0"/>
        <v/>
      </c>
      <c r="F32" s="679" t="str">
        <f t="shared" si="1"/>
        <v/>
      </c>
      <c r="G32" s="657"/>
      <c r="H32" s="657"/>
      <c r="I32" s="675"/>
      <c r="J32" s="181"/>
      <c r="K32" s="665"/>
      <c r="L32" s="666"/>
      <c r="M32" s="666"/>
      <c r="N32" s="673" t="str">
        <f t="shared" si="2"/>
        <v/>
      </c>
      <c r="O32" s="673" t="str">
        <f t="shared" si="3"/>
        <v/>
      </c>
      <c r="P32" s="674"/>
      <c r="Q32" s="657"/>
      <c r="R32" s="657"/>
      <c r="S32" s="657"/>
      <c r="T32" s="657"/>
      <c r="U32" s="657"/>
      <c r="V32" s="657"/>
    </row>
    <row r="33" spans="1:22" ht="12" customHeight="1">
      <c r="A33" s="532">
        <v>29</v>
      </c>
      <c r="B33" s="25"/>
      <c r="C33" s="658"/>
      <c r="D33" s="658"/>
      <c r="E33" s="678" t="str">
        <f t="shared" si="0"/>
        <v/>
      </c>
      <c r="F33" s="679" t="str">
        <f t="shared" si="1"/>
        <v/>
      </c>
      <c r="G33" s="657"/>
      <c r="H33" s="657"/>
      <c r="I33" s="675"/>
      <c r="J33" s="181"/>
      <c r="K33" s="665"/>
      <c r="L33" s="666"/>
      <c r="M33" s="666"/>
      <c r="N33" s="673" t="str">
        <f t="shared" si="2"/>
        <v/>
      </c>
      <c r="O33" s="673" t="str">
        <f t="shared" si="3"/>
        <v/>
      </c>
      <c r="P33" s="674"/>
      <c r="Q33" s="657"/>
      <c r="R33" s="657"/>
      <c r="S33" s="657"/>
      <c r="T33" s="657"/>
      <c r="U33" s="657"/>
      <c r="V33" s="657"/>
    </row>
    <row r="34" spans="1:22" ht="12" customHeight="1">
      <c r="A34" s="532">
        <v>30</v>
      </c>
      <c r="B34" s="25"/>
      <c r="C34" s="658"/>
      <c r="D34" s="658"/>
      <c r="E34" s="678" t="str">
        <f t="shared" si="0"/>
        <v/>
      </c>
      <c r="F34" s="679" t="str">
        <f t="shared" si="1"/>
        <v/>
      </c>
      <c r="G34" s="657"/>
      <c r="H34" s="657"/>
      <c r="I34" s="675"/>
      <c r="J34" s="181"/>
      <c r="K34" s="665"/>
      <c r="L34" s="666"/>
      <c r="M34" s="666"/>
      <c r="N34" s="673" t="str">
        <f t="shared" si="2"/>
        <v/>
      </c>
      <c r="O34" s="673" t="str">
        <f t="shared" si="3"/>
        <v/>
      </c>
      <c r="P34" s="674"/>
      <c r="Q34" s="657"/>
      <c r="R34" s="657"/>
      <c r="S34" s="657"/>
      <c r="T34" s="657"/>
      <c r="U34" s="657"/>
      <c r="V34" s="657"/>
    </row>
    <row r="35" spans="1:22" ht="12" customHeight="1">
      <c r="A35" s="532">
        <v>31</v>
      </c>
      <c r="B35" s="25"/>
      <c r="C35" s="658"/>
      <c r="D35" s="658"/>
      <c r="E35" s="678" t="str">
        <f t="shared" si="0"/>
        <v/>
      </c>
      <c r="F35" s="679" t="str">
        <f t="shared" si="1"/>
        <v/>
      </c>
      <c r="G35" s="657"/>
      <c r="H35" s="657"/>
      <c r="I35" s="675"/>
      <c r="J35" s="181"/>
      <c r="K35" s="665"/>
      <c r="L35" s="666"/>
      <c r="M35" s="666"/>
      <c r="N35" s="673" t="str">
        <f t="shared" si="2"/>
        <v/>
      </c>
      <c r="O35" s="673" t="str">
        <f t="shared" si="3"/>
        <v/>
      </c>
      <c r="P35" s="674"/>
      <c r="Q35" s="657"/>
      <c r="R35" s="657"/>
      <c r="S35" s="657"/>
      <c r="T35" s="657"/>
      <c r="U35" s="657"/>
      <c r="V35" s="657"/>
    </row>
    <row r="36" spans="1:22" ht="12" customHeight="1">
      <c r="A36" s="532">
        <v>32</v>
      </c>
      <c r="B36" s="25"/>
      <c r="C36" s="658"/>
      <c r="D36" s="658"/>
      <c r="E36" s="678" t="str">
        <f t="shared" si="0"/>
        <v/>
      </c>
      <c r="F36" s="679" t="str">
        <f t="shared" si="1"/>
        <v/>
      </c>
      <c r="G36" s="657"/>
      <c r="H36" s="657"/>
      <c r="I36" s="675"/>
      <c r="J36" s="181"/>
      <c r="K36" s="665"/>
      <c r="L36" s="666"/>
      <c r="M36" s="666"/>
      <c r="N36" s="673" t="str">
        <f t="shared" si="2"/>
        <v/>
      </c>
      <c r="O36" s="673" t="str">
        <f t="shared" si="3"/>
        <v/>
      </c>
      <c r="P36" s="674"/>
      <c r="Q36" s="657"/>
      <c r="R36" s="657"/>
      <c r="S36" s="657"/>
      <c r="T36" s="657"/>
      <c r="U36" s="657"/>
      <c r="V36" s="657"/>
    </row>
    <row r="37" spans="1:22" ht="12" customHeight="1">
      <c r="A37" s="532">
        <v>33</v>
      </c>
      <c r="B37" s="25"/>
      <c r="C37" s="658"/>
      <c r="D37" s="658"/>
      <c r="E37" s="678" t="str">
        <f t="shared" si="0"/>
        <v/>
      </c>
      <c r="F37" s="679" t="str">
        <f t="shared" si="1"/>
        <v/>
      </c>
      <c r="G37" s="657"/>
      <c r="H37" s="657"/>
      <c r="I37" s="675"/>
      <c r="J37" s="181"/>
      <c r="K37" s="665"/>
      <c r="L37" s="666"/>
      <c r="M37" s="666"/>
      <c r="N37" s="673" t="str">
        <f t="shared" si="2"/>
        <v/>
      </c>
      <c r="O37" s="673" t="str">
        <f t="shared" si="3"/>
        <v/>
      </c>
      <c r="P37" s="674"/>
      <c r="Q37" s="657"/>
      <c r="R37" s="657"/>
      <c r="S37" s="657"/>
      <c r="T37" s="657"/>
      <c r="U37" s="657"/>
      <c r="V37" s="657"/>
    </row>
    <row r="38" spans="1:22" ht="12" customHeight="1">
      <c r="A38" s="532">
        <v>34</v>
      </c>
      <c r="B38" s="25"/>
      <c r="C38" s="658"/>
      <c r="D38" s="658"/>
      <c r="E38" s="678" t="str">
        <f t="shared" si="0"/>
        <v/>
      </c>
      <c r="F38" s="679" t="str">
        <f t="shared" si="1"/>
        <v/>
      </c>
      <c r="G38" s="657"/>
      <c r="H38" s="657"/>
      <c r="I38" s="675"/>
      <c r="J38" s="181"/>
      <c r="K38" s="665"/>
      <c r="L38" s="666"/>
      <c r="M38" s="666"/>
      <c r="N38" s="673" t="str">
        <f t="shared" si="2"/>
        <v/>
      </c>
      <c r="O38" s="673" t="str">
        <f t="shared" si="3"/>
        <v/>
      </c>
      <c r="P38" s="674"/>
      <c r="Q38" s="657"/>
      <c r="R38" s="657"/>
      <c r="S38" s="657"/>
      <c r="T38" s="657"/>
      <c r="U38" s="657"/>
      <c r="V38" s="657"/>
    </row>
    <row r="39" spans="1:22" ht="12" customHeight="1">
      <c r="A39" s="532">
        <v>35</v>
      </c>
      <c r="B39" s="25"/>
      <c r="C39" s="658"/>
      <c r="D39" s="658"/>
      <c r="E39" s="678" t="str">
        <f t="shared" si="0"/>
        <v/>
      </c>
      <c r="F39" s="679" t="str">
        <f t="shared" si="1"/>
        <v/>
      </c>
      <c r="G39" s="657"/>
      <c r="H39" s="657"/>
      <c r="I39" s="675"/>
      <c r="J39" s="181"/>
      <c r="K39" s="665"/>
      <c r="L39" s="666"/>
      <c r="M39" s="666"/>
      <c r="N39" s="673" t="str">
        <f t="shared" si="2"/>
        <v/>
      </c>
      <c r="O39" s="673" t="str">
        <f t="shared" si="3"/>
        <v/>
      </c>
      <c r="P39" s="674"/>
      <c r="Q39" s="657"/>
      <c r="R39" s="657"/>
      <c r="S39" s="657"/>
      <c r="T39" s="657"/>
      <c r="U39" s="657"/>
      <c r="V39" s="657"/>
    </row>
    <row r="40" spans="1:22" ht="12" customHeight="1">
      <c r="A40" s="532">
        <v>36</v>
      </c>
      <c r="B40" s="25"/>
      <c r="C40" s="658"/>
      <c r="D40" s="658"/>
      <c r="E40" s="678" t="str">
        <f t="shared" si="0"/>
        <v/>
      </c>
      <c r="F40" s="679" t="str">
        <f t="shared" si="1"/>
        <v/>
      </c>
      <c r="G40" s="657"/>
      <c r="H40" s="657"/>
      <c r="I40" s="675"/>
      <c r="J40" s="181"/>
      <c r="K40" s="665"/>
      <c r="L40" s="666"/>
      <c r="M40" s="666"/>
      <c r="N40" s="673" t="str">
        <f t="shared" si="2"/>
        <v/>
      </c>
      <c r="O40" s="673" t="str">
        <f t="shared" si="3"/>
        <v/>
      </c>
      <c r="P40" s="674"/>
      <c r="Q40" s="657"/>
      <c r="R40" s="657"/>
      <c r="S40" s="657"/>
      <c r="T40" s="657"/>
      <c r="U40" s="657"/>
      <c r="V40" s="657"/>
    </row>
    <row r="41" spans="1:22" ht="12" customHeight="1">
      <c r="A41" s="532">
        <v>37</v>
      </c>
      <c r="B41" s="25"/>
      <c r="C41" s="658"/>
      <c r="D41" s="658"/>
      <c r="E41" s="678" t="str">
        <f t="shared" si="0"/>
        <v/>
      </c>
      <c r="F41" s="679" t="str">
        <f t="shared" si="1"/>
        <v/>
      </c>
      <c r="G41" s="657"/>
      <c r="H41" s="657"/>
      <c r="I41" s="675"/>
      <c r="J41" s="181"/>
      <c r="K41" s="665"/>
      <c r="L41" s="666"/>
      <c r="M41" s="666"/>
      <c r="N41" s="673" t="str">
        <f t="shared" si="2"/>
        <v/>
      </c>
      <c r="O41" s="673" t="str">
        <f t="shared" si="3"/>
        <v/>
      </c>
      <c r="P41" s="674"/>
      <c r="Q41" s="657"/>
      <c r="R41" s="657"/>
      <c r="S41" s="657"/>
      <c r="T41" s="657"/>
      <c r="U41" s="657"/>
      <c r="V41" s="657"/>
    </row>
    <row r="42" spans="1:22" ht="12" customHeight="1">
      <c r="A42" s="532">
        <v>38</v>
      </c>
      <c r="B42" s="25"/>
      <c r="C42" s="658"/>
      <c r="D42" s="658"/>
      <c r="E42" s="678" t="str">
        <f t="shared" si="0"/>
        <v/>
      </c>
      <c r="F42" s="679" t="str">
        <f t="shared" si="1"/>
        <v/>
      </c>
      <c r="G42" s="657"/>
      <c r="H42" s="657"/>
      <c r="I42" s="675"/>
      <c r="J42" s="181"/>
      <c r="K42" s="665"/>
      <c r="L42" s="666"/>
      <c r="M42" s="666"/>
      <c r="N42" s="673" t="str">
        <f t="shared" si="2"/>
        <v/>
      </c>
      <c r="O42" s="673" t="str">
        <f t="shared" si="3"/>
        <v/>
      </c>
      <c r="P42" s="674"/>
      <c r="Q42" s="657"/>
      <c r="R42" s="657"/>
      <c r="S42" s="657"/>
      <c r="T42" s="657"/>
      <c r="U42" s="657"/>
      <c r="V42" s="657"/>
    </row>
    <row r="43" spans="1:22" ht="12" customHeight="1" thickBot="1">
      <c r="A43" s="532">
        <v>39</v>
      </c>
      <c r="B43" s="25"/>
      <c r="C43" s="658"/>
      <c r="D43" s="658"/>
      <c r="E43" s="678" t="str">
        <f t="shared" si="0"/>
        <v/>
      </c>
      <c r="F43" s="679" t="str">
        <f t="shared" si="1"/>
        <v/>
      </c>
      <c r="G43" s="657"/>
      <c r="H43" s="657"/>
      <c r="I43" s="689"/>
      <c r="J43" s="353"/>
      <c r="K43" s="690"/>
      <c r="L43" s="691"/>
      <c r="M43" s="691"/>
      <c r="N43" s="677" t="str">
        <f t="shared" si="2"/>
        <v/>
      </c>
      <c r="O43" s="677" t="str">
        <f t="shared" si="3"/>
        <v/>
      </c>
      <c r="P43" s="692"/>
      <c r="Q43" s="657"/>
      <c r="R43" s="657"/>
      <c r="S43" s="657"/>
      <c r="T43" s="657"/>
      <c r="U43" s="657"/>
      <c r="V43" s="657"/>
    </row>
    <row r="44" spans="1:22" ht="12" customHeight="1">
      <c r="A44" s="532">
        <v>40</v>
      </c>
      <c r="B44" s="25"/>
      <c r="C44" s="658"/>
      <c r="D44" s="658"/>
      <c r="E44" s="678" t="str">
        <f t="shared" si="0"/>
        <v/>
      </c>
      <c r="F44" s="679" t="str">
        <f t="shared" si="1"/>
        <v/>
      </c>
      <c r="G44" s="657"/>
      <c r="H44" s="657"/>
      <c r="I44" s="662"/>
      <c r="J44" s="662"/>
      <c r="K44" s="25"/>
      <c r="L44" s="658"/>
      <c r="M44" s="658"/>
      <c r="N44" s="663"/>
      <c r="O44" s="663"/>
      <c r="P44" s="662"/>
      <c r="Q44" s="657"/>
      <c r="R44" s="657"/>
      <c r="S44" s="657"/>
      <c r="T44" s="657"/>
      <c r="U44" s="657"/>
      <c r="V44" s="657"/>
    </row>
    <row r="45" spans="1:22" ht="12" customHeight="1">
      <c r="A45" s="532">
        <v>41</v>
      </c>
      <c r="B45" s="25"/>
      <c r="C45" s="658"/>
      <c r="D45" s="658"/>
      <c r="E45" s="678" t="str">
        <f t="shared" si="0"/>
        <v/>
      </c>
      <c r="F45" s="679" t="str">
        <f t="shared" si="1"/>
        <v/>
      </c>
      <c r="G45" s="657"/>
      <c r="H45" s="657"/>
      <c r="I45" s="662"/>
      <c r="J45" s="662"/>
      <c r="K45" s="25"/>
      <c r="L45" s="658"/>
      <c r="M45" s="658"/>
      <c r="N45" s="663"/>
      <c r="O45" s="663"/>
      <c r="P45" s="662"/>
      <c r="Q45" s="657"/>
      <c r="R45" s="657"/>
      <c r="S45" s="657"/>
      <c r="T45" s="657"/>
      <c r="U45" s="657"/>
      <c r="V45" s="657"/>
    </row>
    <row r="46" spans="1:22" ht="12" customHeight="1">
      <c r="A46" s="532">
        <v>42</v>
      </c>
      <c r="B46" s="25"/>
      <c r="C46" s="658"/>
      <c r="D46" s="658"/>
      <c r="E46" s="678" t="str">
        <f t="shared" si="0"/>
        <v/>
      </c>
      <c r="F46" s="679" t="str">
        <f t="shared" si="1"/>
        <v/>
      </c>
      <c r="G46" s="657"/>
      <c r="H46" s="657"/>
      <c r="I46" s="657"/>
      <c r="J46" s="657"/>
      <c r="K46" s="657"/>
      <c r="L46" s="657"/>
      <c r="M46" s="657"/>
      <c r="N46" s="664"/>
      <c r="O46" s="664"/>
      <c r="P46" s="657"/>
      <c r="Q46" s="657"/>
      <c r="R46" s="657"/>
      <c r="S46" s="657"/>
      <c r="T46" s="657"/>
      <c r="U46" s="657"/>
      <c r="V46" s="657"/>
    </row>
    <row r="47" spans="1:22" ht="12" customHeight="1">
      <c r="A47" s="532">
        <v>43</v>
      </c>
      <c r="B47" s="25"/>
      <c r="C47" s="658"/>
      <c r="D47" s="658"/>
      <c r="E47" s="678" t="str">
        <f t="shared" si="0"/>
        <v/>
      </c>
      <c r="F47" s="679" t="str">
        <f t="shared" si="1"/>
        <v/>
      </c>
      <c r="G47" s="657"/>
      <c r="H47" s="657"/>
      <c r="I47" s="657"/>
      <c r="J47" s="657"/>
      <c r="K47" s="657"/>
      <c r="L47" s="657"/>
      <c r="M47" s="657"/>
      <c r="N47" s="664"/>
      <c r="O47" s="664"/>
      <c r="P47" s="657"/>
      <c r="Q47" s="657"/>
      <c r="R47" s="657"/>
      <c r="S47" s="657"/>
      <c r="T47" s="657"/>
      <c r="U47" s="657"/>
      <c r="V47" s="657"/>
    </row>
    <row r="48" spans="1:22" ht="12" customHeight="1">
      <c r="A48" s="532">
        <v>44</v>
      </c>
      <c r="B48" s="25"/>
      <c r="C48" s="658"/>
      <c r="D48" s="658"/>
      <c r="E48" s="678" t="str">
        <f t="shared" si="0"/>
        <v/>
      </c>
      <c r="F48" s="679" t="str">
        <f t="shared" si="1"/>
        <v/>
      </c>
      <c r="G48" s="657"/>
      <c r="H48" s="657"/>
      <c r="I48" s="657"/>
      <c r="J48" s="657"/>
      <c r="K48" s="657"/>
      <c r="L48" s="657"/>
      <c r="M48" s="657"/>
      <c r="N48" s="664"/>
      <c r="O48" s="664"/>
      <c r="P48" s="657"/>
      <c r="Q48" s="657"/>
      <c r="R48" s="657"/>
      <c r="S48" s="657"/>
      <c r="T48" s="657"/>
      <c r="U48" s="657"/>
      <c r="V48" s="657"/>
    </row>
    <row r="49" spans="1:22" ht="12" customHeight="1">
      <c r="A49" s="532">
        <v>45</v>
      </c>
      <c r="B49" s="25"/>
      <c r="C49" s="658"/>
      <c r="D49" s="658"/>
      <c r="E49" s="678" t="str">
        <f t="shared" si="0"/>
        <v/>
      </c>
      <c r="F49" s="679" t="str">
        <f t="shared" si="1"/>
        <v/>
      </c>
      <c r="G49" s="657"/>
      <c r="H49" s="657"/>
      <c r="I49" s="657"/>
      <c r="J49" s="657"/>
      <c r="K49" s="657"/>
      <c r="L49" s="657"/>
      <c r="M49" s="657"/>
      <c r="N49" s="664"/>
      <c r="O49" s="664"/>
      <c r="P49" s="657"/>
      <c r="Q49" s="657"/>
      <c r="R49" s="657"/>
      <c r="S49" s="657"/>
      <c r="T49" s="657"/>
      <c r="U49" s="657"/>
      <c r="V49" s="657"/>
    </row>
    <row r="50" spans="1:22" ht="12" customHeight="1">
      <c r="A50" s="532">
        <v>46</v>
      </c>
      <c r="B50" s="25"/>
      <c r="C50" s="658"/>
      <c r="D50" s="658"/>
      <c r="E50" s="678" t="str">
        <f t="shared" si="0"/>
        <v/>
      </c>
      <c r="F50" s="679" t="str">
        <f t="shared" si="1"/>
        <v/>
      </c>
      <c r="G50" s="657"/>
      <c r="H50" s="657"/>
      <c r="I50" s="657"/>
      <c r="J50" s="657"/>
      <c r="K50" s="657"/>
      <c r="L50" s="657"/>
      <c r="M50" s="657"/>
      <c r="N50" s="664"/>
      <c r="O50" s="664"/>
      <c r="P50" s="657"/>
      <c r="Q50" s="657"/>
      <c r="R50" s="657"/>
      <c r="S50" s="657"/>
      <c r="T50" s="657"/>
      <c r="U50" s="657"/>
      <c r="V50" s="657"/>
    </row>
    <row r="51" spans="1:22" ht="12" customHeight="1">
      <c r="A51" s="532">
        <v>47</v>
      </c>
      <c r="B51" s="25"/>
      <c r="C51" s="658"/>
      <c r="D51" s="658"/>
      <c r="E51" s="678" t="str">
        <f t="shared" si="0"/>
        <v/>
      </c>
      <c r="F51" s="679" t="str">
        <f t="shared" si="1"/>
        <v/>
      </c>
      <c r="G51" s="657"/>
      <c r="H51" s="657"/>
      <c r="I51" s="657"/>
      <c r="J51" s="657"/>
      <c r="K51" s="657"/>
      <c r="L51" s="657"/>
      <c r="M51" s="657"/>
      <c r="N51" s="664"/>
      <c r="O51" s="664"/>
      <c r="P51" s="657"/>
      <c r="Q51" s="657"/>
      <c r="R51" s="657"/>
      <c r="S51" s="657"/>
      <c r="T51" s="657"/>
      <c r="U51" s="657"/>
      <c r="V51" s="657"/>
    </row>
    <row r="52" spans="1:22" ht="12" customHeight="1">
      <c r="A52" s="532">
        <v>48</v>
      </c>
      <c r="B52" s="25"/>
      <c r="C52" s="658"/>
      <c r="D52" s="658"/>
      <c r="E52" s="678" t="str">
        <f t="shared" si="0"/>
        <v/>
      </c>
      <c r="F52" s="679" t="str">
        <f t="shared" si="1"/>
        <v/>
      </c>
      <c r="G52" s="657"/>
      <c r="H52" s="657"/>
      <c r="I52" s="657"/>
      <c r="J52" s="657"/>
      <c r="K52" s="657"/>
      <c r="L52" s="657"/>
      <c r="M52" s="657"/>
      <c r="N52" s="664"/>
      <c r="O52" s="664"/>
      <c r="P52" s="657"/>
      <c r="Q52" s="657"/>
      <c r="R52" s="657"/>
      <c r="S52" s="657"/>
      <c r="T52" s="657"/>
      <c r="U52" s="657"/>
      <c r="V52" s="657"/>
    </row>
    <row r="53" spans="1:22" ht="12" customHeight="1">
      <c r="A53" s="532">
        <v>49</v>
      </c>
      <c r="B53" s="25"/>
      <c r="C53" s="658"/>
      <c r="D53" s="658"/>
      <c r="E53" s="678" t="str">
        <f t="shared" si="0"/>
        <v/>
      </c>
      <c r="F53" s="679" t="str">
        <f t="shared" si="1"/>
        <v/>
      </c>
      <c r="G53" s="657"/>
      <c r="H53" s="657"/>
      <c r="I53" s="657"/>
      <c r="J53" s="657"/>
      <c r="K53" s="657"/>
      <c r="L53" s="657"/>
      <c r="M53" s="657"/>
      <c r="N53" s="664"/>
      <c r="O53" s="664"/>
      <c r="P53" s="657"/>
      <c r="Q53" s="657"/>
      <c r="R53" s="657"/>
      <c r="S53" s="657"/>
      <c r="T53" s="657"/>
      <c r="U53" s="657"/>
      <c r="V53" s="657"/>
    </row>
    <row r="54" spans="1:22" ht="12" customHeight="1">
      <c r="A54" s="532">
        <v>50</v>
      </c>
      <c r="B54" s="25"/>
      <c r="C54" s="658"/>
      <c r="D54" s="658"/>
      <c r="E54" s="678" t="str">
        <f t="shared" si="0"/>
        <v/>
      </c>
      <c r="F54" s="679" t="str">
        <f t="shared" si="1"/>
        <v/>
      </c>
      <c r="G54" s="657"/>
      <c r="H54" s="657"/>
      <c r="I54" s="657"/>
      <c r="J54" s="657"/>
      <c r="K54" s="657"/>
      <c r="L54" s="657"/>
      <c r="M54" s="657"/>
      <c r="N54" s="664"/>
      <c r="O54" s="664"/>
      <c r="P54" s="657"/>
      <c r="Q54" s="657"/>
      <c r="R54" s="657"/>
      <c r="S54" s="657"/>
      <c r="T54" s="657"/>
      <c r="U54" s="657"/>
      <c r="V54" s="657"/>
    </row>
    <row r="55" spans="1:22" ht="12" customHeight="1">
      <c r="A55" s="532">
        <v>51</v>
      </c>
      <c r="B55" s="25"/>
      <c r="C55" s="658"/>
      <c r="D55" s="658"/>
      <c r="E55" s="678" t="str">
        <f t="shared" si="0"/>
        <v/>
      </c>
      <c r="F55" s="679" t="str">
        <f t="shared" si="1"/>
        <v/>
      </c>
      <c r="G55" s="657"/>
      <c r="H55" s="657"/>
      <c r="I55" s="657"/>
      <c r="J55" s="657"/>
      <c r="K55" s="657"/>
      <c r="L55" s="657"/>
      <c r="M55" s="657"/>
      <c r="N55" s="664"/>
      <c r="O55" s="664"/>
      <c r="P55" s="657"/>
      <c r="Q55" s="657"/>
      <c r="R55" s="657"/>
      <c r="S55" s="657"/>
      <c r="T55" s="657"/>
      <c r="U55" s="657"/>
      <c r="V55" s="657"/>
    </row>
    <row r="56" spans="1:22" ht="12" customHeight="1">
      <c r="A56" s="532">
        <v>52</v>
      </c>
      <c r="B56" s="25"/>
      <c r="C56" s="658"/>
      <c r="D56" s="658"/>
      <c r="E56" s="678" t="str">
        <f t="shared" si="0"/>
        <v/>
      </c>
      <c r="F56" s="679" t="str">
        <f t="shared" si="1"/>
        <v/>
      </c>
      <c r="G56" s="657"/>
      <c r="H56" s="657"/>
      <c r="I56" s="657"/>
      <c r="J56" s="657"/>
      <c r="K56" s="657"/>
      <c r="L56" s="657"/>
      <c r="M56" s="657"/>
      <c r="N56" s="664"/>
      <c r="O56" s="664"/>
      <c r="P56" s="657"/>
      <c r="Q56" s="657"/>
      <c r="R56" s="657"/>
      <c r="S56" s="657"/>
      <c r="T56" s="657"/>
      <c r="U56" s="657"/>
      <c r="V56" s="657"/>
    </row>
    <row r="57" spans="1:22" ht="12" customHeight="1">
      <c r="A57" s="532">
        <v>53</v>
      </c>
      <c r="B57" s="25"/>
      <c r="C57" s="658"/>
      <c r="D57" s="658"/>
      <c r="E57" s="678" t="str">
        <f>IFERROR(D57/B57,"")</f>
        <v/>
      </c>
      <c r="F57" s="679" t="str">
        <f>IFERROR(D57/C57,"")</f>
        <v/>
      </c>
    </row>
    <row r="58" spans="1:22">
      <c r="A58" s="532">
        <v>53</v>
      </c>
      <c r="B58" s="25"/>
      <c r="C58" s="658"/>
      <c r="D58" s="658"/>
      <c r="E58" s="678"/>
      <c r="F58" s="679"/>
    </row>
  </sheetData>
  <sheetProtection sheet="1" objects="1" scenarios="1"/>
  <mergeCells count="1">
    <mergeCell ref="E3:F3"/>
  </mergeCells>
  <pageMargins left="0.7" right="0.7" top="0.75" bottom="0.75" header="0.3" footer="0.3"/>
  <pageSetup paperSize="9" orientation="portrait" r:id="rId1"/>
  <headerFooter>
    <oddFooter>&amp;L&amp;1#&amp;"Calibri"&amp;8 Classification: Open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Drop Down 1">
              <controlPr defaultSize="0" autoLine="0" autoPict="0" macro="[0]!shrinktab">
                <anchor moveWithCells="1">
                  <from>
                    <xdr:col>0</xdr:col>
                    <xdr:colOff>28575</xdr:colOff>
                    <xdr:row>1</xdr:row>
                    <xdr:rowOff>38100</xdr:rowOff>
                  </from>
                  <to>
                    <xdr:col>2</xdr:col>
                    <xdr:colOff>657225</xdr:colOff>
                    <xdr:row>2</xdr:row>
                    <xdr:rowOff>171450</xdr:rowOff>
                  </to>
                </anchor>
              </controlPr>
            </control>
          </mc:Choice>
        </mc:AlternateContent>
        <mc:AlternateContent xmlns:mc="http://schemas.openxmlformats.org/markup-compatibility/2006">
          <mc:Choice Requires="x14">
            <control shapeId="104450" r:id="rId5" name="Spinner 2">
              <controlPr defaultSize="0" autoPict="0" macro="[0]!shrinktab">
                <anchor moveWithCells="1" sizeWithCells="1">
                  <from>
                    <xdr:col>10</xdr:col>
                    <xdr:colOff>9525</xdr:colOff>
                    <xdr:row>2</xdr:row>
                    <xdr:rowOff>0</xdr:rowOff>
                  </from>
                  <to>
                    <xdr:col>10</xdr:col>
                    <xdr:colOff>228600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2060"/>
    <pageSetUpPr fitToPage="1"/>
  </sheetPr>
  <dimension ref="A1:V44"/>
  <sheetViews>
    <sheetView showRuler="0" zoomScale="85" zoomScaleNormal="85" zoomScaleSheetLayoutView="100" zoomScalePageLayoutView="92" workbookViewId="0">
      <selection activeCell="N14" sqref="N14"/>
    </sheetView>
  </sheetViews>
  <sheetFormatPr baseColWidth="10" defaultColWidth="9.140625" defaultRowHeight="15"/>
  <cols>
    <col min="1" max="1" width="8.85546875" customWidth="1"/>
    <col min="2" max="2" width="9.85546875" bestFit="1" customWidth="1"/>
    <col min="3" max="3" width="13.28515625" bestFit="1" customWidth="1"/>
    <col min="4" max="9" width="9.28515625" bestFit="1" customWidth="1"/>
    <col min="10" max="10" width="12.5703125" bestFit="1" customWidth="1"/>
    <col min="11" max="11" width="9.28515625" bestFit="1" customWidth="1"/>
    <col min="12" max="12" width="9.85546875" bestFit="1" customWidth="1"/>
    <col min="15" max="15" width="10" customWidth="1"/>
    <col min="19" max="19" width="9.5703125" bestFit="1" customWidth="1"/>
  </cols>
  <sheetData>
    <row r="1" spans="1:22">
      <c r="A1" s="882" t="s">
        <v>284</v>
      </c>
      <c r="B1" s="882"/>
      <c r="C1" s="882"/>
      <c r="D1" s="882"/>
      <c r="E1" s="882"/>
      <c r="F1" s="882"/>
      <c r="G1" s="882"/>
      <c r="H1" s="882"/>
      <c r="I1" s="882"/>
      <c r="J1" s="882"/>
      <c r="K1" s="882"/>
      <c r="L1" s="882"/>
      <c r="M1" s="882"/>
    </row>
    <row r="2" spans="1:22">
      <c r="A2" s="882"/>
      <c r="B2" s="882"/>
      <c r="C2" s="882"/>
      <c r="D2" s="882"/>
      <c r="E2" s="882"/>
      <c r="F2" s="882"/>
      <c r="G2" s="882"/>
      <c r="H2" s="882"/>
      <c r="I2" s="882"/>
      <c r="J2" s="882"/>
      <c r="K2" s="882"/>
      <c r="L2" s="882"/>
      <c r="M2" s="882"/>
    </row>
    <row r="3" spans="1:22" s="583" customFormat="1" ht="30.75" customHeight="1">
      <c r="A3" s="580" t="s">
        <v>286</v>
      </c>
      <c r="B3" s="391">
        <v>2019</v>
      </c>
      <c r="C3" s="581" t="s">
        <v>287</v>
      </c>
      <c r="D3" s="391">
        <v>1</v>
      </c>
      <c r="E3" s="581" t="s">
        <v>285</v>
      </c>
      <c r="F3" s="391">
        <v>4301</v>
      </c>
      <c r="G3" s="582"/>
      <c r="H3" s="582"/>
      <c r="I3" s="883" t="s">
        <v>468</v>
      </c>
      <c r="J3" s="883"/>
      <c r="K3" s="883"/>
      <c r="L3" s="883"/>
      <c r="M3" s="884"/>
    </row>
    <row r="4" spans="1:22" ht="7.5" customHeight="1" thickBot="1"/>
    <row r="5" spans="1:22" ht="15.75" thickBot="1">
      <c r="A5" s="607" t="s">
        <v>0</v>
      </c>
      <c r="B5" s="608" t="s">
        <v>1</v>
      </c>
      <c r="C5" s="609" t="s">
        <v>23</v>
      </c>
      <c r="D5" s="610" t="s">
        <v>280</v>
      </c>
      <c r="E5" s="608" t="s">
        <v>283</v>
      </c>
      <c r="F5" s="610" t="s">
        <v>6</v>
      </c>
      <c r="G5" s="608" t="s">
        <v>281</v>
      </c>
      <c r="H5" s="610" t="s">
        <v>23</v>
      </c>
      <c r="I5" s="608" t="s">
        <v>282</v>
      </c>
      <c r="J5" s="610" t="s">
        <v>23</v>
      </c>
      <c r="K5" s="608" t="s">
        <v>3</v>
      </c>
      <c r="L5" s="610" t="s">
        <v>4</v>
      </c>
      <c r="M5" s="885" t="s">
        <v>376</v>
      </c>
      <c r="N5" s="886"/>
      <c r="O5" s="885" t="s">
        <v>315</v>
      </c>
      <c r="P5" s="886"/>
      <c r="Q5" s="780" t="s">
        <v>439</v>
      </c>
      <c r="R5" s="781" t="s">
        <v>440</v>
      </c>
    </row>
    <row r="6" spans="1:22" s="223" customFormat="1">
      <c r="A6" s="782">
        <v>-8</v>
      </c>
      <c r="B6" s="783"/>
      <c r="C6" s="784"/>
      <c r="D6" s="785"/>
      <c r="E6" s="786"/>
      <c r="F6" s="787"/>
      <c r="G6" s="783"/>
      <c r="H6" s="788"/>
      <c r="I6" s="783"/>
      <c r="J6" s="788"/>
      <c r="K6" s="786" t="str">
        <f>IFERROR(I6/B6,"")</f>
        <v/>
      </c>
      <c r="L6" s="789" t="str">
        <f>IFERROR(J6/C6,"")</f>
        <v/>
      </c>
      <c r="M6" s="790"/>
      <c r="N6" s="791"/>
      <c r="O6" s="790" t="str">
        <f>IFERROR(C6/M6,"")</f>
        <v/>
      </c>
      <c r="P6" s="785" t="str">
        <f>IFERROR(D6/N6,"")</f>
        <v/>
      </c>
      <c r="Q6" s="786"/>
      <c r="R6" s="787"/>
    </row>
    <row r="7" spans="1:22" s="223" customFormat="1">
      <c r="A7" s="604">
        <v>-7</v>
      </c>
      <c r="B7" s="589"/>
      <c r="C7" s="390"/>
      <c r="D7" s="590"/>
      <c r="E7" s="594"/>
      <c r="F7" s="595"/>
      <c r="G7" s="589"/>
      <c r="H7" s="598"/>
      <c r="I7" s="589"/>
      <c r="J7" s="598"/>
      <c r="K7" s="594" t="str">
        <f t="shared" ref="K7:K15" si="0">IFERROR(I7/B7,"")</f>
        <v/>
      </c>
      <c r="L7" s="600" t="str">
        <f t="shared" ref="L7:L15" si="1">IFERROR(J7/C7,"")</f>
        <v/>
      </c>
      <c r="M7" s="601"/>
      <c r="N7" s="389"/>
      <c r="O7" s="601" t="str">
        <f t="shared" ref="O7:O15" si="2">IFERROR(C7/M7,"")</f>
        <v/>
      </c>
      <c r="P7" s="590" t="str">
        <f t="shared" ref="P7:P15" si="3">IFERROR(D7/N7,"")</f>
        <v/>
      </c>
      <c r="Q7" s="594"/>
      <c r="R7" s="595"/>
    </row>
    <row r="8" spans="1:22" s="223" customFormat="1">
      <c r="A8" s="604">
        <v>-6</v>
      </c>
      <c r="B8" s="589"/>
      <c r="C8" s="390"/>
      <c r="D8" s="590"/>
      <c r="E8" s="594"/>
      <c r="F8" s="595"/>
      <c r="G8" s="589"/>
      <c r="H8" s="598"/>
      <c r="I8" s="589"/>
      <c r="J8" s="598"/>
      <c r="K8" s="594" t="str">
        <f t="shared" si="0"/>
        <v/>
      </c>
      <c r="L8" s="600" t="str">
        <f t="shared" si="1"/>
        <v/>
      </c>
      <c r="M8" s="601"/>
      <c r="N8" s="389"/>
      <c r="O8" s="601" t="str">
        <f t="shared" si="2"/>
        <v/>
      </c>
      <c r="P8" s="590" t="str">
        <f t="shared" si="3"/>
        <v/>
      </c>
      <c r="Q8" s="594"/>
      <c r="R8" s="595"/>
      <c r="S8" s="584"/>
      <c r="T8" s="584"/>
      <c r="U8" s="584"/>
      <c r="V8" s="585"/>
    </row>
    <row r="9" spans="1:22" s="223" customFormat="1">
      <c r="A9" s="604">
        <v>-5</v>
      </c>
      <c r="B9" s="589"/>
      <c r="C9" s="390"/>
      <c r="D9" s="590"/>
      <c r="E9" s="594"/>
      <c r="F9" s="595"/>
      <c r="G9" s="589"/>
      <c r="H9" s="598"/>
      <c r="I9" s="589"/>
      <c r="J9" s="598"/>
      <c r="K9" s="594" t="str">
        <f t="shared" si="0"/>
        <v/>
      </c>
      <c r="L9" s="600" t="str">
        <f t="shared" si="1"/>
        <v/>
      </c>
      <c r="M9" s="601"/>
      <c r="N9" s="389"/>
      <c r="O9" s="601" t="str">
        <f t="shared" si="2"/>
        <v/>
      </c>
      <c r="P9" s="590" t="str">
        <f t="shared" si="3"/>
        <v/>
      </c>
      <c r="Q9" s="594"/>
      <c r="R9" s="595"/>
    </row>
    <row r="10" spans="1:22" s="223" customFormat="1">
      <c r="A10" s="604">
        <v>-4</v>
      </c>
      <c r="B10" s="589"/>
      <c r="C10" s="390"/>
      <c r="D10" s="590"/>
      <c r="E10" s="594"/>
      <c r="F10" s="595"/>
      <c r="G10" s="589"/>
      <c r="H10" s="598"/>
      <c r="I10" s="589"/>
      <c r="J10" s="598"/>
      <c r="K10" s="594" t="str">
        <f t="shared" si="0"/>
        <v/>
      </c>
      <c r="L10" s="600" t="str">
        <f t="shared" si="1"/>
        <v/>
      </c>
      <c r="M10" s="601"/>
      <c r="N10" s="389"/>
      <c r="O10" s="601" t="str">
        <f t="shared" si="2"/>
        <v/>
      </c>
      <c r="P10" s="590" t="str">
        <f t="shared" si="3"/>
        <v/>
      </c>
      <c r="Q10" s="594"/>
      <c r="R10" s="595"/>
    </row>
    <row r="11" spans="1:22" s="223" customFormat="1">
      <c r="A11" s="604">
        <v>-3</v>
      </c>
      <c r="B11" s="589"/>
      <c r="C11" s="390"/>
      <c r="D11" s="590"/>
      <c r="E11" s="594"/>
      <c r="F11" s="595"/>
      <c r="G11" s="589"/>
      <c r="H11" s="598"/>
      <c r="I11" s="589"/>
      <c r="J11" s="598"/>
      <c r="K11" s="594" t="str">
        <f t="shared" si="0"/>
        <v/>
      </c>
      <c r="L11" s="600" t="str">
        <f t="shared" si="1"/>
        <v/>
      </c>
      <c r="M11" s="601"/>
      <c r="N11" s="389"/>
      <c r="O11" s="601" t="str">
        <f t="shared" si="2"/>
        <v/>
      </c>
      <c r="P11" s="590" t="str">
        <f t="shared" si="3"/>
        <v/>
      </c>
      <c r="Q11" s="594"/>
      <c r="R11" s="595"/>
    </row>
    <row r="12" spans="1:22" s="223" customFormat="1">
      <c r="A12" s="604">
        <v>-2</v>
      </c>
      <c r="B12" s="589"/>
      <c r="C12" s="390"/>
      <c r="D12" s="590"/>
      <c r="E12" s="594"/>
      <c r="F12" s="595"/>
      <c r="G12" s="589"/>
      <c r="H12" s="598"/>
      <c r="I12" s="589"/>
      <c r="J12" s="598"/>
      <c r="K12" s="594" t="str">
        <f t="shared" si="0"/>
        <v/>
      </c>
      <c r="L12" s="600" t="str">
        <f t="shared" si="1"/>
        <v/>
      </c>
      <c r="M12" s="601"/>
      <c r="N12" s="389"/>
      <c r="O12" s="601" t="str">
        <f t="shared" si="2"/>
        <v/>
      </c>
      <c r="P12" s="590" t="str">
        <f t="shared" si="3"/>
        <v/>
      </c>
      <c r="Q12" s="594"/>
      <c r="R12" s="595"/>
    </row>
    <row r="13" spans="1:22" s="223" customFormat="1">
      <c r="A13" s="604">
        <v>-1</v>
      </c>
      <c r="B13" s="589"/>
      <c r="C13" s="390"/>
      <c r="D13" s="590"/>
      <c r="E13" s="594"/>
      <c r="F13" s="595"/>
      <c r="G13" s="589"/>
      <c r="H13" s="598"/>
      <c r="I13" s="589"/>
      <c r="J13" s="598"/>
      <c r="K13" s="594" t="str">
        <f t="shared" si="0"/>
        <v/>
      </c>
      <c r="L13" s="600" t="str">
        <f t="shared" si="1"/>
        <v/>
      </c>
      <c r="M13" s="601"/>
      <c r="N13" s="389"/>
      <c r="O13" s="601" t="str">
        <f t="shared" si="2"/>
        <v/>
      </c>
      <c r="P13" s="590" t="str">
        <f t="shared" si="3"/>
        <v/>
      </c>
      <c r="Q13" s="594"/>
      <c r="R13" s="595"/>
    </row>
    <row r="14" spans="1:22" s="223" customFormat="1">
      <c r="A14" s="604">
        <v>0</v>
      </c>
      <c r="B14" s="589"/>
      <c r="C14" s="390"/>
      <c r="D14" s="590"/>
      <c r="E14" s="594"/>
      <c r="F14" s="595"/>
      <c r="G14" s="589"/>
      <c r="H14" s="598"/>
      <c r="I14" s="589"/>
      <c r="J14" s="598"/>
      <c r="K14" s="594" t="str">
        <f t="shared" si="0"/>
        <v/>
      </c>
      <c r="L14" s="600" t="str">
        <f t="shared" si="1"/>
        <v/>
      </c>
      <c r="M14" s="601"/>
      <c r="N14" s="389"/>
      <c r="O14" s="601" t="str">
        <f t="shared" si="2"/>
        <v/>
      </c>
      <c r="P14" s="590" t="str">
        <f t="shared" si="3"/>
        <v/>
      </c>
      <c r="Q14" s="594"/>
      <c r="R14" s="595"/>
    </row>
    <row r="15" spans="1:22" s="223" customFormat="1" ht="15.75" thickBot="1">
      <c r="A15" s="605">
        <v>1</v>
      </c>
      <c r="B15" s="591"/>
      <c r="C15" s="592"/>
      <c r="D15" s="593"/>
      <c r="E15" s="596"/>
      <c r="F15" s="597"/>
      <c r="G15" s="591"/>
      <c r="H15" s="599"/>
      <c r="I15" s="591"/>
      <c r="J15" s="599"/>
      <c r="K15" s="596" t="str">
        <f t="shared" si="0"/>
        <v/>
      </c>
      <c r="L15" s="792" t="str">
        <f t="shared" si="1"/>
        <v/>
      </c>
      <c r="M15" s="602"/>
      <c r="N15" s="603"/>
      <c r="O15" s="602" t="str">
        <f t="shared" si="2"/>
        <v/>
      </c>
      <c r="P15" s="593" t="str">
        <f t="shared" si="3"/>
        <v/>
      </c>
      <c r="Q15" s="596"/>
      <c r="R15" s="597"/>
    </row>
    <row r="16" spans="1:22" ht="15.75" thickBot="1">
      <c r="O16" s="539"/>
      <c r="P16" s="606"/>
    </row>
    <row r="44" spans="2:4">
      <c r="B44" s="830"/>
      <c r="C44" s="830"/>
      <c r="D44" s="830"/>
    </row>
  </sheetData>
  <sheetProtection sheet="1" objects="1" scenarios="1"/>
  <mergeCells count="5">
    <mergeCell ref="A1:M2"/>
    <mergeCell ref="I3:M3"/>
    <mergeCell ref="B44:D44"/>
    <mergeCell ref="M5:N5"/>
    <mergeCell ref="O5:P5"/>
  </mergeCells>
  <printOptions horizontalCentered="1"/>
  <pageMargins left="0.15748031496062992" right="0.15748031496062992" top="0.31496062992125984" bottom="0.74803149606299213" header="0.31496062992125984" footer="0.31496062992125984"/>
  <pageSetup paperSize="9" scale="48" orientation="landscape" r:id="rId1"/>
  <headerFooter>
    <oddFooter>&amp;L&amp;1#&amp;"Calibri"&amp;8 Classification: Open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Spinner 1">
              <controlPr defaultSize="0" autoPict="0" macro="[0]!getStoreTrend">
                <anchor moveWithCells="1" sizeWithCells="1">
                  <from>
                    <xdr:col>1</xdr:col>
                    <xdr:colOff>600075</xdr:colOff>
                    <xdr:row>2</xdr:row>
                    <xdr:rowOff>0</xdr:rowOff>
                  </from>
                  <to>
                    <xdr:col>2</xdr:col>
                    <xdr:colOff>133350</xdr:colOff>
                    <xdr:row>3</xdr:row>
                    <xdr:rowOff>9525</xdr:rowOff>
                  </to>
                </anchor>
              </controlPr>
            </control>
          </mc:Choice>
        </mc:AlternateContent>
        <mc:AlternateContent xmlns:mc="http://schemas.openxmlformats.org/markup-compatibility/2006">
          <mc:Choice Requires="x14">
            <control shapeId="36866" r:id="rId5" name="Spinner 2">
              <controlPr defaultSize="0" autoPict="0" macro="[0]!getStoreTrend">
                <anchor moveWithCells="1" sizeWithCells="1">
                  <from>
                    <xdr:col>4</xdr:col>
                    <xdr:colOff>0</xdr:colOff>
                    <xdr:row>2</xdr:row>
                    <xdr:rowOff>0</xdr:rowOff>
                  </from>
                  <to>
                    <xdr:col>4</xdr:col>
                    <xdr:colOff>142875</xdr:colOff>
                    <xdr:row>3</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6"/>
    <pageSetUpPr fitToPage="1"/>
  </sheetPr>
  <dimension ref="A1:S79"/>
  <sheetViews>
    <sheetView zoomScaleNormal="100" workbookViewId="0">
      <pane ySplit="6" topLeftCell="A16" activePane="bottomLeft" state="frozenSplit"/>
      <selection activeCell="K13" sqref="K13"/>
      <selection pane="bottomLeft" activeCell="O35" sqref="O35"/>
    </sheetView>
  </sheetViews>
  <sheetFormatPr baseColWidth="10" defaultColWidth="9.140625" defaultRowHeight="15"/>
  <cols>
    <col min="1" max="1" width="4" bestFit="1" customWidth="1"/>
    <col min="2" max="4" width="11" customWidth="1"/>
    <col min="5" max="5" width="11.140625" customWidth="1"/>
    <col min="8" max="8" width="9.7109375" customWidth="1"/>
    <col min="9" max="9" width="9.85546875" bestFit="1" customWidth="1"/>
    <col min="14" max="14" width="9.28515625" bestFit="1" customWidth="1"/>
    <col min="18" max="18" width="12" bestFit="1" customWidth="1"/>
  </cols>
  <sheetData>
    <row r="1" spans="1:19" ht="33.75" customHeight="1">
      <c r="A1" s="80"/>
      <c r="B1" s="79" t="str">
        <f>sysX!A2</f>
        <v>4301</v>
      </c>
      <c r="C1" s="79" t="str">
        <f>sysX!A4</f>
        <v>BERJASEN</v>
      </c>
      <c r="D1" s="80"/>
      <c r="E1" s="81" t="str">
        <f>sysX!A6</f>
        <v>2019</v>
      </c>
      <c r="F1" s="77"/>
      <c r="G1" s="77"/>
      <c r="H1" s="77"/>
      <c r="I1" s="77"/>
      <c r="J1" s="77"/>
      <c r="K1" s="77"/>
      <c r="L1" s="77"/>
      <c r="M1" s="77"/>
      <c r="N1" s="77"/>
      <c r="O1" s="77"/>
      <c r="P1" s="77"/>
      <c r="Q1" s="77"/>
    </row>
    <row r="2" spans="1:19">
      <c r="A2" s="12"/>
      <c r="B2" s="891" t="s">
        <v>35</v>
      </c>
      <c r="C2" s="891"/>
      <c r="D2" s="891"/>
      <c r="E2" s="891"/>
      <c r="F2" s="891"/>
      <c r="G2" s="891"/>
      <c r="H2" s="891"/>
      <c r="I2" s="891"/>
      <c r="J2" s="891"/>
      <c r="K2" s="891"/>
      <c r="L2" s="891"/>
      <c r="M2" s="891"/>
      <c r="N2" s="891"/>
      <c r="O2" s="12"/>
      <c r="P2" s="12"/>
      <c r="Q2" s="12"/>
    </row>
    <row r="3" spans="1:19" ht="15.75" thickBot="1">
      <c r="A3" s="12"/>
      <c r="B3" s="892"/>
      <c r="C3" s="892"/>
      <c r="D3" s="892"/>
      <c r="E3" s="892"/>
      <c r="F3" s="892"/>
      <c r="G3" s="892"/>
      <c r="H3" s="892"/>
      <c r="I3" s="892"/>
      <c r="J3" s="892"/>
      <c r="K3" s="892"/>
      <c r="L3" s="892"/>
      <c r="M3" s="892"/>
      <c r="N3" s="892"/>
      <c r="O3" s="12"/>
      <c r="P3" s="12"/>
      <c r="Q3" s="12"/>
    </row>
    <row r="4" spans="1:19">
      <c r="A4" s="46"/>
      <c r="B4" s="887" t="s">
        <v>29</v>
      </c>
      <c r="C4" s="893"/>
      <c r="D4" s="893"/>
      <c r="E4" s="888"/>
      <c r="F4" s="887" t="s">
        <v>30</v>
      </c>
      <c r="G4" s="893"/>
      <c r="H4" s="893"/>
      <c r="I4" s="888"/>
      <c r="J4" s="887" t="s">
        <v>19</v>
      </c>
      <c r="K4" s="893"/>
      <c r="L4" s="893"/>
      <c r="M4" s="888"/>
      <c r="N4" s="887" t="s">
        <v>31</v>
      </c>
      <c r="O4" s="888"/>
      <c r="P4" s="887" t="s">
        <v>383</v>
      </c>
      <c r="Q4" s="888"/>
    </row>
    <row r="5" spans="1:19">
      <c r="A5" s="47"/>
      <c r="B5" s="889" t="s">
        <v>32</v>
      </c>
      <c r="C5" s="894"/>
      <c r="D5" s="894" t="s">
        <v>33</v>
      </c>
      <c r="E5" s="890"/>
      <c r="F5" s="889" t="s">
        <v>32</v>
      </c>
      <c r="G5" s="894"/>
      <c r="H5" s="894" t="s">
        <v>33</v>
      </c>
      <c r="I5" s="890"/>
      <c r="J5" s="889" t="s">
        <v>32</v>
      </c>
      <c r="K5" s="894"/>
      <c r="L5" s="894" t="s">
        <v>33</v>
      </c>
      <c r="M5" s="890"/>
      <c r="N5" s="889" t="s">
        <v>31</v>
      </c>
      <c r="O5" s="890"/>
      <c r="P5" s="889"/>
      <c r="Q5" s="890"/>
    </row>
    <row r="6" spans="1:19" ht="24.75">
      <c r="A6" s="47" t="s">
        <v>0</v>
      </c>
      <c r="B6" s="48" t="s">
        <v>23</v>
      </c>
      <c r="C6" s="49" t="s">
        <v>22</v>
      </c>
      <c r="D6" s="49" t="s">
        <v>23</v>
      </c>
      <c r="E6" s="50" t="s">
        <v>22</v>
      </c>
      <c r="F6" s="48" t="s">
        <v>23</v>
      </c>
      <c r="G6" s="49" t="s">
        <v>22</v>
      </c>
      <c r="H6" s="49" t="s">
        <v>23</v>
      </c>
      <c r="I6" s="50" t="s">
        <v>22</v>
      </c>
      <c r="J6" s="51" t="s">
        <v>23</v>
      </c>
      <c r="K6" s="49" t="s">
        <v>22</v>
      </c>
      <c r="L6" s="49" t="s">
        <v>23</v>
      </c>
      <c r="M6" s="50" t="s">
        <v>22</v>
      </c>
      <c r="N6" s="48" t="s">
        <v>29</v>
      </c>
      <c r="O6" s="50" t="s">
        <v>34</v>
      </c>
      <c r="P6" s="613" t="s">
        <v>379</v>
      </c>
      <c r="Q6" s="611" t="s">
        <v>380</v>
      </c>
    </row>
    <row r="7" spans="1:19" ht="12" customHeight="1">
      <c r="A7" s="52">
        <f>'Min Butikk'!A8</f>
        <v>0</v>
      </c>
      <c r="B7" s="53" t="str">
        <f t="shared" ref="B7:B38" si="0">IFERROR(IF(VLOOKUP($A7,dbr,5,FALSE)=0,N7,VLOOKUP($A7,dbr,5,FALSE)),"")</f>
        <v/>
      </c>
      <c r="C7" s="54" t="str">
        <f t="shared" ref="C7:C38" si="1">IFERROR(VLOOKUP($A7,dbr,4,FALSE),"")</f>
        <v/>
      </c>
      <c r="D7" s="55" t="str">
        <f>IFERROR(IF(B7&lt;&gt;"",B7,C7),"")</f>
        <v/>
      </c>
      <c r="E7" s="56">
        <f>SUM(C$6:C7)</f>
        <v>0</v>
      </c>
      <c r="F7" s="53" t="str">
        <f t="shared" ref="F7:F25" si="2">IFERROR(IF(VLOOKUP($A7,dbr,11,FALSE)=0,O7,VLOOKUP($A7,dbr,11,FALSE)*-1),"")</f>
        <v/>
      </c>
      <c r="G7" s="54" t="str">
        <f>IFERROR(IF(B7&lt;&gt;0,B7*K7,C7*K7),"")</f>
        <v/>
      </c>
      <c r="H7" s="55" t="str">
        <f>IF(F7&lt;&gt;"",SUM(F$6:F7),"")</f>
        <v/>
      </c>
      <c r="I7" s="56">
        <f>SUM(G$6:G7)</f>
        <v>0</v>
      </c>
      <c r="J7" s="57" t="str">
        <f t="shared" ref="J7:J38" si="3">IFERROR(F7/B7,"")</f>
        <v/>
      </c>
      <c r="K7" s="58" t="str">
        <f t="shared" ref="K7:K38" si="4">IFERROR((VLOOKUP($A7,dbr,12,FALSE)*-1),"")</f>
        <v/>
      </c>
      <c r="L7" s="58" t="str">
        <f t="shared" ref="L7:L38" si="5">IFERROR(IF(B7=0,"",H7/D7),"")</f>
        <v/>
      </c>
      <c r="M7" s="59" t="str">
        <f t="shared" ref="M7:M38" si="6">IFERROR((VLOOKUP($A7,dbr,14,FALSE)*-1),"")</f>
        <v/>
      </c>
      <c r="N7" s="60"/>
      <c r="O7" s="61"/>
      <c r="P7" s="614" t="str">
        <f>IFERROR(G7-F7,"")</f>
        <v/>
      </c>
      <c r="Q7" s="615" t="str">
        <f>IFERROR(I7-H7,"")</f>
        <v/>
      </c>
      <c r="R7" s="10"/>
    </row>
    <row r="8" spans="1:19" ht="12" customHeight="1">
      <c r="A8" s="52">
        <f>'Min Butikk'!A9</f>
        <v>0</v>
      </c>
      <c r="B8" s="53" t="str">
        <f t="shared" si="0"/>
        <v/>
      </c>
      <c r="C8" s="54" t="str">
        <f t="shared" si="1"/>
        <v/>
      </c>
      <c r="D8" s="55" t="str">
        <f t="shared" ref="D8:D39" si="7">IFERROR(IF(B8&lt;&gt;"",B8+D7,D7+C8),"")</f>
        <v/>
      </c>
      <c r="E8" s="56">
        <f>SUM(C$6:C8)</f>
        <v>0</v>
      </c>
      <c r="F8" s="53" t="str">
        <f t="shared" si="2"/>
        <v/>
      </c>
      <c r="G8" s="54" t="str">
        <f>IFERROR(IF(B8&lt;&gt;0,B8*K8,C8*K8),"")</f>
        <v/>
      </c>
      <c r="H8" s="55" t="str">
        <f>IF(F8&lt;&gt;"",SUM(F$6:F8),"")</f>
        <v/>
      </c>
      <c r="I8" s="56">
        <f>SUM(G$6:G8)</f>
        <v>0</v>
      </c>
      <c r="J8" s="57" t="str">
        <f t="shared" si="3"/>
        <v/>
      </c>
      <c r="K8" s="58" t="str">
        <f t="shared" si="4"/>
        <v/>
      </c>
      <c r="L8" s="58" t="str">
        <f t="shared" si="5"/>
        <v/>
      </c>
      <c r="M8" s="59" t="str">
        <f t="shared" si="6"/>
        <v/>
      </c>
      <c r="N8" s="60"/>
      <c r="O8" s="61"/>
      <c r="P8" s="614" t="str">
        <f t="shared" ref="P8:P60" si="8">IFERROR(G8-F8,"")</f>
        <v/>
      </c>
      <c r="Q8" s="615" t="str">
        <f t="shared" ref="Q8:Q60" si="9">IFERROR(I8-H8,"")</f>
        <v/>
      </c>
      <c r="R8" s="10"/>
      <c r="S8" s="75"/>
    </row>
    <row r="9" spans="1:19" ht="12" customHeight="1">
      <c r="A9" s="52">
        <f>'Min Butikk'!A10</f>
        <v>0</v>
      </c>
      <c r="B9" s="53" t="str">
        <f t="shared" si="0"/>
        <v/>
      </c>
      <c r="C9" s="54" t="str">
        <f t="shared" si="1"/>
        <v/>
      </c>
      <c r="D9" s="55" t="str">
        <f t="shared" si="7"/>
        <v/>
      </c>
      <c r="E9" s="56">
        <f>SUM(C$6:C9)</f>
        <v>0</v>
      </c>
      <c r="F9" s="53" t="str">
        <f t="shared" si="2"/>
        <v/>
      </c>
      <c r="G9" s="54" t="str">
        <f t="shared" ref="G9:G60" si="10">IFERROR(IF(B9&lt;&gt;0,B9*K9,C9*K9),"")</f>
        <v/>
      </c>
      <c r="H9" s="55" t="str">
        <f>IF(F9&lt;&gt;"",SUM(F$6:F9),"")</f>
        <v/>
      </c>
      <c r="I9" s="56">
        <f>SUM(G$6:G9)</f>
        <v>0</v>
      </c>
      <c r="J9" s="57" t="str">
        <f t="shared" si="3"/>
        <v/>
      </c>
      <c r="K9" s="58" t="str">
        <f t="shared" si="4"/>
        <v/>
      </c>
      <c r="L9" s="58" t="str">
        <f t="shared" si="5"/>
        <v/>
      </c>
      <c r="M9" s="59" t="str">
        <f t="shared" si="6"/>
        <v/>
      </c>
      <c r="N9" s="60"/>
      <c r="O9" s="61"/>
      <c r="P9" s="614" t="str">
        <f t="shared" si="8"/>
        <v/>
      </c>
      <c r="Q9" s="615" t="str">
        <f t="shared" si="9"/>
        <v/>
      </c>
      <c r="R9" s="10"/>
      <c r="S9" s="75"/>
    </row>
    <row r="10" spans="1:19" ht="12" customHeight="1">
      <c r="A10" s="52">
        <f>'Min Butikk'!A11</f>
        <v>0</v>
      </c>
      <c r="B10" s="53" t="str">
        <f t="shared" si="0"/>
        <v/>
      </c>
      <c r="C10" s="54" t="str">
        <f t="shared" si="1"/>
        <v/>
      </c>
      <c r="D10" s="55" t="str">
        <f t="shared" si="7"/>
        <v/>
      </c>
      <c r="E10" s="56">
        <f>SUM(C$6:C10)</f>
        <v>0</v>
      </c>
      <c r="F10" s="53" t="str">
        <f t="shared" si="2"/>
        <v/>
      </c>
      <c r="G10" s="54" t="str">
        <f t="shared" si="10"/>
        <v/>
      </c>
      <c r="H10" s="55" t="str">
        <f>IF(F10&lt;&gt;"",SUM(F$6:F10),"")</f>
        <v/>
      </c>
      <c r="I10" s="56">
        <f>SUM(G$6:G10)</f>
        <v>0</v>
      </c>
      <c r="J10" s="57" t="str">
        <f t="shared" si="3"/>
        <v/>
      </c>
      <c r="K10" s="58" t="str">
        <f t="shared" si="4"/>
        <v/>
      </c>
      <c r="L10" s="58" t="str">
        <f t="shared" si="5"/>
        <v/>
      </c>
      <c r="M10" s="59" t="str">
        <f t="shared" si="6"/>
        <v/>
      </c>
      <c r="N10" s="60"/>
      <c r="O10" s="61"/>
      <c r="P10" s="614" t="str">
        <f t="shared" si="8"/>
        <v/>
      </c>
      <c r="Q10" s="615" t="str">
        <f t="shared" si="9"/>
        <v/>
      </c>
      <c r="R10" s="10"/>
      <c r="S10" s="75"/>
    </row>
    <row r="11" spans="1:19" ht="12" customHeight="1">
      <c r="A11" s="52">
        <f>'Min Butikk'!A12</f>
        <v>0</v>
      </c>
      <c r="B11" s="53" t="str">
        <f t="shared" si="0"/>
        <v/>
      </c>
      <c r="C11" s="54" t="str">
        <f t="shared" si="1"/>
        <v/>
      </c>
      <c r="D11" s="55" t="str">
        <f t="shared" si="7"/>
        <v/>
      </c>
      <c r="E11" s="56">
        <f>SUM(C$6:C11)</f>
        <v>0</v>
      </c>
      <c r="F11" s="53" t="str">
        <f t="shared" si="2"/>
        <v/>
      </c>
      <c r="G11" s="54" t="str">
        <f t="shared" si="10"/>
        <v/>
      </c>
      <c r="H11" s="55" t="str">
        <f>IF(F11&lt;&gt;"",SUM(F$6:F11),"")</f>
        <v/>
      </c>
      <c r="I11" s="56">
        <f>SUM(G$6:G11)</f>
        <v>0</v>
      </c>
      <c r="J11" s="57" t="str">
        <f t="shared" si="3"/>
        <v/>
      </c>
      <c r="K11" s="58" t="str">
        <f t="shared" si="4"/>
        <v/>
      </c>
      <c r="L11" s="58" t="str">
        <f t="shared" si="5"/>
        <v/>
      </c>
      <c r="M11" s="59" t="str">
        <f t="shared" si="6"/>
        <v/>
      </c>
      <c r="N11" s="60"/>
      <c r="O11" s="61"/>
      <c r="P11" s="614" t="str">
        <f t="shared" si="8"/>
        <v/>
      </c>
      <c r="Q11" s="615" t="str">
        <f t="shared" si="9"/>
        <v/>
      </c>
      <c r="R11" s="10"/>
      <c r="S11" s="75"/>
    </row>
    <row r="12" spans="1:19" ht="12" customHeight="1">
      <c r="A12" s="52">
        <f>'Min Butikk'!A13</f>
        <v>0</v>
      </c>
      <c r="B12" s="53" t="str">
        <f t="shared" si="0"/>
        <v/>
      </c>
      <c r="C12" s="54" t="str">
        <f t="shared" si="1"/>
        <v/>
      </c>
      <c r="D12" s="55" t="str">
        <f t="shared" si="7"/>
        <v/>
      </c>
      <c r="E12" s="56">
        <f>SUM(C$6:C12)</f>
        <v>0</v>
      </c>
      <c r="F12" s="53" t="str">
        <f t="shared" si="2"/>
        <v/>
      </c>
      <c r="G12" s="54" t="str">
        <f t="shared" si="10"/>
        <v/>
      </c>
      <c r="H12" s="55" t="str">
        <f>IF(F12&lt;&gt;"",SUM(F$6:F12),"")</f>
        <v/>
      </c>
      <c r="I12" s="56">
        <f>SUM(G$6:G12)</f>
        <v>0</v>
      </c>
      <c r="J12" s="57" t="str">
        <f t="shared" si="3"/>
        <v/>
      </c>
      <c r="K12" s="58" t="str">
        <f t="shared" si="4"/>
        <v/>
      </c>
      <c r="L12" s="58" t="str">
        <f t="shared" si="5"/>
        <v/>
      </c>
      <c r="M12" s="59" t="str">
        <f t="shared" si="6"/>
        <v/>
      </c>
      <c r="N12" s="60"/>
      <c r="O12" s="61"/>
      <c r="P12" s="614" t="str">
        <f t="shared" si="8"/>
        <v/>
      </c>
      <c r="Q12" s="615" t="str">
        <f t="shared" si="9"/>
        <v/>
      </c>
      <c r="R12" s="10"/>
      <c r="S12" s="75"/>
    </row>
    <row r="13" spans="1:19" ht="12" customHeight="1">
      <c r="A13" s="52">
        <f>'Min Butikk'!A14</f>
        <v>0</v>
      </c>
      <c r="B13" s="53" t="str">
        <f t="shared" si="0"/>
        <v/>
      </c>
      <c r="C13" s="54" t="str">
        <f t="shared" si="1"/>
        <v/>
      </c>
      <c r="D13" s="55" t="str">
        <f t="shared" si="7"/>
        <v/>
      </c>
      <c r="E13" s="56">
        <f>SUM(C$6:C13)</f>
        <v>0</v>
      </c>
      <c r="F13" s="53" t="str">
        <f t="shared" si="2"/>
        <v/>
      </c>
      <c r="G13" s="54" t="str">
        <f t="shared" si="10"/>
        <v/>
      </c>
      <c r="H13" s="55" t="str">
        <f>IF(F13&lt;&gt;"",SUM(F$6:F13),"")</f>
        <v/>
      </c>
      <c r="I13" s="56">
        <f>SUM(G$6:G13)</f>
        <v>0</v>
      </c>
      <c r="J13" s="57" t="str">
        <f t="shared" si="3"/>
        <v/>
      </c>
      <c r="K13" s="58" t="str">
        <f t="shared" si="4"/>
        <v/>
      </c>
      <c r="L13" s="58" t="str">
        <f t="shared" si="5"/>
        <v/>
      </c>
      <c r="M13" s="59" t="str">
        <f t="shared" si="6"/>
        <v/>
      </c>
      <c r="N13" s="60"/>
      <c r="O13" s="61"/>
      <c r="P13" s="614" t="str">
        <f t="shared" si="8"/>
        <v/>
      </c>
      <c r="Q13" s="615" t="str">
        <f t="shared" si="9"/>
        <v/>
      </c>
      <c r="R13" s="10"/>
      <c r="S13" s="75"/>
    </row>
    <row r="14" spans="1:19" ht="12" customHeight="1">
      <c r="A14" s="52">
        <f>'Min Butikk'!A15</f>
        <v>0</v>
      </c>
      <c r="B14" s="53" t="str">
        <f t="shared" si="0"/>
        <v/>
      </c>
      <c r="C14" s="54" t="str">
        <f t="shared" si="1"/>
        <v/>
      </c>
      <c r="D14" s="55" t="str">
        <f t="shared" si="7"/>
        <v/>
      </c>
      <c r="E14" s="56">
        <f>SUM(C$6:C14)</f>
        <v>0</v>
      </c>
      <c r="F14" s="53" t="str">
        <f t="shared" si="2"/>
        <v/>
      </c>
      <c r="G14" s="54" t="str">
        <f t="shared" si="10"/>
        <v/>
      </c>
      <c r="H14" s="55" t="str">
        <f>IF(F14&lt;&gt;"",SUM(F$6:F14),"")</f>
        <v/>
      </c>
      <c r="I14" s="56">
        <f>SUM(G$6:G14)</f>
        <v>0</v>
      </c>
      <c r="J14" s="57" t="str">
        <f t="shared" si="3"/>
        <v/>
      </c>
      <c r="K14" s="58" t="str">
        <f t="shared" si="4"/>
        <v/>
      </c>
      <c r="L14" s="58" t="str">
        <f t="shared" si="5"/>
        <v/>
      </c>
      <c r="M14" s="59" t="str">
        <f t="shared" si="6"/>
        <v/>
      </c>
      <c r="N14" s="60"/>
      <c r="O14" s="61"/>
      <c r="P14" s="614" t="str">
        <f t="shared" si="8"/>
        <v/>
      </c>
      <c r="Q14" s="615" t="str">
        <f t="shared" si="9"/>
        <v/>
      </c>
      <c r="R14" s="10"/>
      <c r="S14" s="75"/>
    </row>
    <row r="15" spans="1:19" ht="12" customHeight="1">
      <c r="A15" s="52">
        <f>'Min Butikk'!A16</f>
        <v>0</v>
      </c>
      <c r="B15" s="53" t="str">
        <f t="shared" si="0"/>
        <v/>
      </c>
      <c r="C15" s="54" t="str">
        <f t="shared" si="1"/>
        <v/>
      </c>
      <c r="D15" s="55" t="str">
        <f t="shared" si="7"/>
        <v/>
      </c>
      <c r="E15" s="56">
        <f>SUM(C$6:C15)</f>
        <v>0</v>
      </c>
      <c r="F15" s="53" t="str">
        <f t="shared" si="2"/>
        <v/>
      </c>
      <c r="G15" s="54" t="str">
        <f t="shared" si="10"/>
        <v/>
      </c>
      <c r="H15" s="55" t="str">
        <f>IF(F15&lt;&gt;"",SUM(F$6:F15),"")</f>
        <v/>
      </c>
      <c r="I15" s="56">
        <f>SUM(G$6:G15)</f>
        <v>0</v>
      </c>
      <c r="J15" s="57" t="str">
        <f t="shared" si="3"/>
        <v/>
      </c>
      <c r="K15" s="58" t="str">
        <f t="shared" si="4"/>
        <v/>
      </c>
      <c r="L15" s="58" t="str">
        <f t="shared" si="5"/>
        <v/>
      </c>
      <c r="M15" s="59" t="str">
        <f t="shared" si="6"/>
        <v/>
      </c>
      <c r="N15" s="60"/>
      <c r="O15" s="61"/>
      <c r="P15" s="614" t="str">
        <f t="shared" si="8"/>
        <v/>
      </c>
      <c r="Q15" s="615" t="str">
        <f t="shared" si="9"/>
        <v/>
      </c>
      <c r="R15" s="10"/>
      <c r="S15" s="75"/>
    </row>
    <row r="16" spans="1:19" ht="12" customHeight="1">
      <c r="A16" s="52">
        <f>'Min Butikk'!A17</f>
        <v>0</v>
      </c>
      <c r="B16" s="53" t="str">
        <f t="shared" si="0"/>
        <v/>
      </c>
      <c r="C16" s="54" t="str">
        <f t="shared" si="1"/>
        <v/>
      </c>
      <c r="D16" s="55" t="str">
        <f t="shared" si="7"/>
        <v/>
      </c>
      <c r="E16" s="56">
        <f>SUM(C$6:C16)</f>
        <v>0</v>
      </c>
      <c r="F16" s="53" t="str">
        <f t="shared" si="2"/>
        <v/>
      </c>
      <c r="G16" s="54" t="str">
        <f t="shared" si="10"/>
        <v/>
      </c>
      <c r="H16" s="55" t="str">
        <f>IF(F16&lt;&gt;"",SUM(F$6:F16),"")</f>
        <v/>
      </c>
      <c r="I16" s="56">
        <f>SUM(G$6:G16)</f>
        <v>0</v>
      </c>
      <c r="J16" s="57" t="str">
        <f t="shared" si="3"/>
        <v/>
      </c>
      <c r="K16" s="58" t="str">
        <f t="shared" si="4"/>
        <v/>
      </c>
      <c r="L16" s="58" t="str">
        <f t="shared" si="5"/>
        <v/>
      </c>
      <c r="M16" s="59" t="str">
        <f t="shared" si="6"/>
        <v/>
      </c>
      <c r="N16" s="60"/>
      <c r="O16" s="61"/>
      <c r="P16" s="614" t="str">
        <f t="shared" si="8"/>
        <v/>
      </c>
      <c r="Q16" s="615" t="str">
        <f t="shared" si="9"/>
        <v/>
      </c>
      <c r="R16" s="10"/>
      <c r="S16" s="75"/>
    </row>
    <row r="17" spans="1:19" ht="12" customHeight="1">
      <c r="A17" s="52">
        <f>'Min Butikk'!A18</f>
        <v>0</v>
      </c>
      <c r="B17" s="53" t="str">
        <f t="shared" si="0"/>
        <v/>
      </c>
      <c r="C17" s="54" t="str">
        <f t="shared" si="1"/>
        <v/>
      </c>
      <c r="D17" s="55" t="str">
        <f t="shared" si="7"/>
        <v/>
      </c>
      <c r="E17" s="56">
        <f>SUM(C$6:C17)</f>
        <v>0</v>
      </c>
      <c r="F17" s="53" t="str">
        <f t="shared" si="2"/>
        <v/>
      </c>
      <c r="G17" s="54" t="str">
        <f t="shared" si="10"/>
        <v/>
      </c>
      <c r="H17" s="55" t="str">
        <f>IF(F17&lt;&gt;"",SUM(F$6:F17),"")</f>
        <v/>
      </c>
      <c r="I17" s="56">
        <f>SUM(G$6:G17)</f>
        <v>0</v>
      </c>
      <c r="J17" s="57" t="str">
        <f t="shared" si="3"/>
        <v/>
      </c>
      <c r="K17" s="58" t="str">
        <f t="shared" si="4"/>
        <v/>
      </c>
      <c r="L17" s="58" t="str">
        <f t="shared" si="5"/>
        <v/>
      </c>
      <c r="M17" s="59" t="str">
        <f t="shared" si="6"/>
        <v/>
      </c>
      <c r="N17" s="60"/>
      <c r="O17" s="61"/>
      <c r="P17" s="614" t="str">
        <f t="shared" si="8"/>
        <v/>
      </c>
      <c r="Q17" s="615" t="str">
        <f t="shared" si="9"/>
        <v/>
      </c>
      <c r="R17" s="10"/>
      <c r="S17" s="75"/>
    </row>
    <row r="18" spans="1:19" ht="12" customHeight="1">
      <c r="A18" s="52">
        <f>'Min Butikk'!A19</f>
        <v>0</v>
      </c>
      <c r="B18" s="53" t="str">
        <f t="shared" si="0"/>
        <v/>
      </c>
      <c r="C18" s="54" t="str">
        <f t="shared" si="1"/>
        <v/>
      </c>
      <c r="D18" s="55" t="str">
        <f t="shared" si="7"/>
        <v/>
      </c>
      <c r="E18" s="56">
        <f>SUM(C$6:C18)</f>
        <v>0</v>
      </c>
      <c r="F18" s="53" t="str">
        <f t="shared" si="2"/>
        <v/>
      </c>
      <c r="G18" s="54" t="str">
        <f t="shared" si="10"/>
        <v/>
      </c>
      <c r="H18" s="55" t="str">
        <f>IF(F18&lt;&gt;"",SUM(F$6:F18),"")</f>
        <v/>
      </c>
      <c r="I18" s="56">
        <f>SUM(G$6:G18)</f>
        <v>0</v>
      </c>
      <c r="J18" s="57" t="str">
        <f t="shared" si="3"/>
        <v/>
      </c>
      <c r="K18" s="58" t="str">
        <f t="shared" si="4"/>
        <v/>
      </c>
      <c r="L18" s="58" t="str">
        <f t="shared" si="5"/>
        <v/>
      </c>
      <c r="M18" s="59" t="str">
        <f t="shared" si="6"/>
        <v/>
      </c>
      <c r="N18" s="60"/>
      <c r="O18" s="61"/>
      <c r="P18" s="614" t="str">
        <f t="shared" si="8"/>
        <v/>
      </c>
      <c r="Q18" s="615" t="str">
        <f t="shared" si="9"/>
        <v/>
      </c>
      <c r="R18" s="10"/>
      <c r="S18" s="75"/>
    </row>
    <row r="19" spans="1:19" ht="12" customHeight="1">
      <c r="A19" s="52">
        <f>'Min Butikk'!A20</f>
        <v>0</v>
      </c>
      <c r="B19" s="53" t="str">
        <f t="shared" si="0"/>
        <v/>
      </c>
      <c r="C19" s="54" t="str">
        <f t="shared" si="1"/>
        <v/>
      </c>
      <c r="D19" s="55" t="str">
        <f t="shared" si="7"/>
        <v/>
      </c>
      <c r="E19" s="56">
        <f>SUM(C$6:C19)</f>
        <v>0</v>
      </c>
      <c r="F19" s="53" t="str">
        <f t="shared" si="2"/>
        <v/>
      </c>
      <c r="G19" s="54" t="str">
        <f t="shared" si="10"/>
        <v/>
      </c>
      <c r="H19" s="55" t="str">
        <f>IF(F19&lt;&gt;"",SUM(F$6:F19),"")</f>
        <v/>
      </c>
      <c r="I19" s="56">
        <f>SUM(G$6:G19)</f>
        <v>0</v>
      </c>
      <c r="J19" s="57" t="str">
        <f t="shared" si="3"/>
        <v/>
      </c>
      <c r="K19" s="58" t="str">
        <f t="shared" si="4"/>
        <v/>
      </c>
      <c r="L19" s="58" t="str">
        <f t="shared" si="5"/>
        <v/>
      </c>
      <c r="M19" s="59" t="str">
        <f t="shared" si="6"/>
        <v/>
      </c>
      <c r="N19" s="60"/>
      <c r="O19" s="61"/>
      <c r="P19" s="614" t="str">
        <f t="shared" si="8"/>
        <v/>
      </c>
      <c r="Q19" s="615" t="str">
        <f t="shared" si="9"/>
        <v/>
      </c>
      <c r="R19" s="10"/>
      <c r="S19" s="75"/>
    </row>
    <row r="20" spans="1:19" ht="12" customHeight="1">
      <c r="A20" s="52">
        <f>'Min Butikk'!A21</f>
        <v>0</v>
      </c>
      <c r="B20" s="53" t="str">
        <f t="shared" si="0"/>
        <v/>
      </c>
      <c r="C20" s="54" t="str">
        <f t="shared" si="1"/>
        <v/>
      </c>
      <c r="D20" s="55" t="str">
        <f t="shared" si="7"/>
        <v/>
      </c>
      <c r="E20" s="56">
        <f>SUM(C$6:C20)</f>
        <v>0</v>
      </c>
      <c r="F20" s="53" t="str">
        <f t="shared" si="2"/>
        <v/>
      </c>
      <c r="G20" s="54" t="str">
        <f t="shared" si="10"/>
        <v/>
      </c>
      <c r="H20" s="55" t="str">
        <f>IF(F20&lt;&gt;"",SUM(F$6:F20),"")</f>
        <v/>
      </c>
      <c r="I20" s="56">
        <f>SUM(G$6:G20)</f>
        <v>0</v>
      </c>
      <c r="J20" s="57" t="str">
        <f t="shared" si="3"/>
        <v/>
      </c>
      <c r="K20" s="58" t="str">
        <f t="shared" si="4"/>
        <v/>
      </c>
      <c r="L20" s="58" t="str">
        <f t="shared" si="5"/>
        <v/>
      </c>
      <c r="M20" s="59" t="str">
        <f t="shared" si="6"/>
        <v/>
      </c>
      <c r="N20" s="60"/>
      <c r="O20" s="61"/>
      <c r="P20" s="614" t="str">
        <f t="shared" si="8"/>
        <v/>
      </c>
      <c r="Q20" s="615" t="str">
        <f t="shared" si="9"/>
        <v/>
      </c>
      <c r="R20" s="10"/>
      <c r="S20" s="75"/>
    </row>
    <row r="21" spans="1:19" ht="12" customHeight="1">
      <c r="A21" s="52">
        <f>'Min Butikk'!A22</f>
        <v>0</v>
      </c>
      <c r="B21" s="53" t="str">
        <f t="shared" si="0"/>
        <v/>
      </c>
      <c r="C21" s="54" t="str">
        <f t="shared" si="1"/>
        <v/>
      </c>
      <c r="D21" s="55" t="str">
        <f t="shared" si="7"/>
        <v/>
      </c>
      <c r="E21" s="56">
        <f>SUM(C$6:C21)</f>
        <v>0</v>
      </c>
      <c r="F21" s="53" t="str">
        <f t="shared" si="2"/>
        <v/>
      </c>
      <c r="G21" s="54" t="str">
        <f t="shared" si="10"/>
        <v/>
      </c>
      <c r="H21" s="55" t="str">
        <f>IF(F21&lt;&gt;"",SUM(F$6:F21),"")</f>
        <v/>
      </c>
      <c r="I21" s="56">
        <f>SUM(G$6:G21)</f>
        <v>0</v>
      </c>
      <c r="J21" s="57" t="str">
        <f t="shared" si="3"/>
        <v/>
      </c>
      <c r="K21" s="58" t="str">
        <f t="shared" si="4"/>
        <v/>
      </c>
      <c r="L21" s="58" t="str">
        <f t="shared" si="5"/>
        <v/>
      </c>
      <c r="M21" s="59" t="str">
        <f t="shared" si="6"/>
        <v/>
      </c>
      <c r="N21" s="60"/>
      <c r="O21" s="61"/>
      <c r="P21" s="614" t="str">
        <f t="shared" si="8"/>
        <v/>
      </c>
      <c r="Q21" s="615" t="str">
        <f t="shared" si="9"/>
        <v/>
      </c>
      <c r="R21" s="10"/>
      <c r="S21" s="75"/>
    </row>
    <row r="22" spans="1:19" ht="12" customHeight="1">
      <c r="A22" s="52">
        <f>'Min Butikk'!A23</f>
        <v>0</v>
      </c>
      <c r="B22" s="53" t="str">
        <f t="shared" si="0"/>
        <v/>
      </c>
      <c r="C22" s="54" t="str">
        <f t="shared" si="1"/>
        <v/>
      </c>
      <c r="D22" s="55" t="str">
        <f t="shared" si="7"/>
        <v/>
      </c>
      <c r="E22" s="56">
        <f>SUM(C$6:C22)</f>
        <v>0</v>
      </c>
      <c r="F22" s="53" t="str">
        <f t="shared" si="2"/>
        <v/>
      </c>
      <c r="G22" s="54" t="str">
        <f t="shared" si="10"/>
        <v/>
      </c>
      <c r="H22" s="55" t="str">
        <f>IF(F22&lt;&gt;"",SUM(F$6:F22),"")</f>
        <v/>
      </c>
      <c r="I22" s="56">
        <f>SUM(G$6:G22)</f>
        <v>0</v>
      </c>
      <c r="J22" s="57" t="str">
        <f t="shared" si="3"/>
        <v/>
      </c>
      <c r="K22" s="58" t="str">
        <f t="shared" si="4"/>
        <v/>
      </c>
      <c r="L22" s="58" t="str">
        <f t="shared" si="5"/>
        <v/>
      </c>
      <c r="M22" s="59" t="str">
        <f t="shared" si="6"/>
        <v/>
      </c>
      <c r="N22" s="60"/>
      <c r="O22" s="61"/>
      <c r="P22" s="614" t="str">
        <f t="shared" si="8"/>
        <v/>
      </c>
      <c r="Q22" s="615" t="str">
        <f t="shared" si="9"/>
        <v/>
      </c>
      <c r="R22" s="10"/>
      <c r="S22" s="75"/>
    </row>
    <row r="23" spans="1:19" ht="12" customHeight="1">
      <c r="A23" s="52">
        <f>'Min Butikk'!A24</f>
        <v>0</v>
      </c>
      <c r="B23" s="53" t="str">
        <f t="shared" si="0"/>
        <v/>
      </c>
      <c r="C23" s="54" t="str">
        <f t="shared" si="1"/>
        <v/>
      </c>
      <c r="D23" s="55" t="str">
        <f t="shared" si="7"/>
        <v/>
      </c>
      <c r="E23" s="56">
        <f>SUM(C$6:C23)</f>
        <v>0</v>
      </c>
      <c r="F23" s="53" t="str">
        <f t="shared" si="2"/>
        <v/>
      </c>
      <c r="G23" s="54" t="str">
        <f t="shared" si="10"/>
        <v/>
      </c>
      <c r="H23" s="55" t="str">
        <f>IF(F23&lt;&gt;"",SUM(F$6:F23),"")</f>
        <v/>
      </c>
      <c r="I23" s="56">
        <f>SUM(G$6:G23)</f>
        <v>0</v>
      </c>
      <c r="J23" s="57" t="str">
        <f t="shared" si="3"/>
        <v/>
      </c>
      <c r="K23" s="58" t="str">
        <f t="shared" si="4"/>
        <v/>
      </c>
      <c r="L23" s="58" t="str">
        <f t="shared" si="5"/>
        <v/>
      </c>
      <c r="M23" s="59" t="str">
        <f t="shared" si="6"/>
        <v/>
      </c>
      <c r="N23" s="60"/>
      <c r="O23" s="61"/>
      <c r="P23" s="614" t="str">
        <f t="shared" si="8"/>
        <v/>
      </c>
      <c r="Q23" s="615" t="str">
        <f t="shared" si="9"/>
        <v/>
      </c>
      <c r="R23" s="10"/>
      <c r="S23" s="75"/>
    </row>
    <row r="24" spans="1:19" ht="12" customHeight="1">
      <c r="A24" s="52">
        <f>'Min Butikk'!A25</f>
        <v>0</v>
      </c>
      <c r="B24" s="53" t="str">
        <f t="shared" si="0"/>
        <v/>
      </c>
      <c r="C24" s="54" t="str">
        <f t="shared" si="1"/>
        <v/>
      </c>
      <c r="D24" s="55" t="str">
        <f t="shared" si="7"/>
        <v/>
      </c>
      <c r="E24" s="56">
        <f>SUM(C$6:C24)</f>
        <v>0</v>
      </c>
      <c r="F24" s="53" t="str">
        <f t="shared" si="2"/>
        <v/>
      </c>
      <c r="G24" s="54" t="str">
        <f t="shared" si="10"/>
        <v/>
      </c>
      <c r="H24" s="55" t="str">
        <f>IF(F24&lt;&gt;"",SUM(F$6:F24),"")</f>
        <v/>
      </c>
      <c r="I24" s="56">
        <f>SUM(G$6:G24)</f>
        <v>0</v>
      </c>
      <c r="J24" s="57" t="str">
        <f t="shared" si="3"/>
        <v/>
      </c>
      <c r="K24" s="58" t="str">
        <f t="shared" si="4"/>
        <v/>
      </c>
      <c r="L24" s="58" t="str">
        <f t="shared" si="5"/>
        <v/>
      </c>
      <c r="M24" s="59" t="str">
        <f t="shared" si="6"/>
        <v/>
      </c>
      <c r="N24" s="60"/>
      <c r="O24" s="61"/>
      <c r="P24" s="614" t="str">
        <f t="shared" si="8"/>
        <v/>
      </c>
      <c r="Q24" s="615" t="str">
        <f t="shared" si="9"/>
        <v/>
      </c>
      <c r="R24" s="10"/>
      <c r="S24" s="75"/>
    </row>
    <row r="25" spans="1:19" ht="12" customHeight="1">
      <c r="A25" s="52">
        <f>'Min Butikk'!A26</f>
        <v>0</v>
      </c>
      <c r="B25" s="53" t="str">
        <f t="shared" si="0"/>
        <v/>
      </c>
      <c r="C25" s="54" t="str">
        <f t="shared" si="1"/>
        <v/>
      </c>
      <c r="D25" s="55" t="str">
        <f t="shared" si="7"/>
        <v/>
      </c>
      <c r="E25" s="56">
        <f>SUM(C$6:C25)</f>
        <v>0</v>
      </c>
      <c r="F25" s="53" t="str">
        <f t="shared" si="2"/>
        <v/>
      </c>
      <c r="G25" s="54" t="str">
        <f t="shared" si="10"/>
        <v/>
      </c>
      <c r="H25" s="55" t="str">
        <f>IF(F25&lt;&gt;"",SUM(F$6:F25),"")</f>
        <v/>
      </c>
      <c r="I25" s="56">
        <f>SUM(G$6:G25)</f>
        <v>0</v>
      </c>
      <c r="J25" s="57" t="str">
        <f t="shared" si="3"/>
        <v/>
      </c>
      <c r="K25" s="58" t="str">
        <f t="shared" si="4"/>
        <v/>
      </c>
      <c r="L25" s="58" t="str">
        <f t="shared" si="5"/>
        <v/>
      </c>
      <c r="M25" s="59" t="str">
        <f t="shared" si="6"/>
        <v/>
      </c>
      <c r="N25" s="60"/>
      <c r="O25" s="61"/>
      <c r="P25" s="614" t="str">
        <f t="shared" si="8"/>
        <v/>
      </c>
      <c r="Q25" s="615" t="str">
        <f t="shared" si="9"/>
        <v/>
      </c>
      <c r="R25" s="10"/>
      <c r="S25" s="75"/>
    </row>
    <row r="26" spans="1:19" ht="12" customHeight="1">
      <c r="A26" s="52">
        <f>'Min Butikk'!A27</f>
        <v>0</v>
      </c>
      <c r="B26" s="53" t="str">
        <f t="shared" si="0"/>
        <v/>
      </c>
      <c r="C26" s="54" t="str">
        <f t="shared" si="1"/>
        <v/>
      </c>
      <c r="D26" s="55" t="str">
        <f t="shared" si="7"/>
        <v/>
      </c>
      <c r="E26" s="56">
        <f>SUM(C$6:C26)</f>
        <v>0</v>
      </c>
      <c r="F26" s="53" t="str">
        <f t="shared" ref="F26:F38" si="11">IFERROR(IF(VLOOKUP($A26,dbr,11,FALSE)=0,O26,VLOOKUP($A26,dbr,11,FALSE)*-1),"")</f>
        <v/>
      </c>
      <c r="G26" s="54" t="str">
        <f t="shared" si="10"/>
        <v/>
      </c>
      <c r="H26" s="55" t="str">
        <f>IF(F26&lt;&gt;"",SUM(F$6:F26),"")</f>
        <v/>
      </c>
      <c r="I26" s="56">
        <f>SUM(G$6:G26)</f>
        <v>0</v>
      </c>
      <c r="J26" s="57" t="str">
        <f t="shared" si="3"/>
        <v/>
      </c>
      <c r="K26" s="58" t="str">
        <f t="shared" si="4"/>
        <v/>
      </c>
      <c r="L26" s="58" t="str">
        <f t="shared" si="5"/>
        <v/>
      </c>
      <c r="M26" s="59" t="str">
        <f t="shared" si="6"/>
        <v/>
      </c>
      <c r="N26" s="60"/>
      <c r="O26" s="61"/>
      <c r="P26" s="614" t="str">
        <f t="shared" si="8"/>
        <v/>
      </c>
      <c r="Q26" s="615" t="str">
        <f t="shared" si="9"/>
        <v/>
      </c>
      <c r="R26" s="10"/>
      <c r="S26" s="75"/>
    </row>
    <row r="27" spans="1:19" ht="12" customHeight="1">
      <c r="A27" s="52">
        <f>'Min Butikk'!A28</f>
        <v>0</v>
      </c>
      <c r="B27" s="53" t="str">
        <f t="shared" si="0"/>
        <v/>
      </c>
      <c r="C27" s="54" t="str">
        <f t="shared" si="1"/>
        <v/>
      </c>
      <c r="D27" s="55" t="str">
        <f t="shared" si="7"/>
        <v/>
      </c>
      <c r="E27" s="56">
        <f>SUM(C$6:C27)</f>
        <v>0</v>
      </c>
      <c r="F27" s="53" t="str">
        <f t="shared" si="11"/>
        <v/>
      </c>
      <c r="G27" s="54" t="str">
        <f t="shared" si="10"/>
        <v/>
      </c>
      <c r="H27" s="55" t="str">
        <f>IF(F27&lt;&gt;"",SUM(F$6:F27),"")</f>
        <v/>
      </c>
      <c r="I27" s="56">
        <f>SUM(G$6:G27)</f>
        <v>0</v>
      </c>
      <c r="J27" s="57" t="str">
        <f t="shared" si="3"/>
        <v/>
      </c>
      <c r="K27" s="58" t="str">
        <f t="shared" si="4"/>
        <v/>
      </c>
      <c r="L27" s="58" t="str">
        <f t="shared" si="5"/>
        <v/>
      </c>
      <c r="M27" s="59" t="str">
        <f t="shared" si="6"/>
        <v/>
      </c>
      <c r="N27" s="60"/>
      <c r="O27" s="61"/>
      <c r="P27" s="614" t="str">
        <f t="shared" si="8"/>
        <v/>
      </c>
      <c r="Q27" s="615" t="str">
        <f t="shared" si="9"/>
        <v/>
      </c>
      <c r="R27" s="10"/>
      <c r="S27" s="75"/>
    </row>
    <row r="28" spans="1:19" ht="12" customHeight="1">
      <c r="A28" s="52">
        <f>'Min Butikk'!A29</f>
        <v>0</v>
      </c>
      <c r="B28" s="53" t="str">
        <f t="shared" si="0"/>
        <v/>
      </c>
      <c r="C28" s="54" t="str">
        <f t="shared" si="1"/>
        <v/>
      </c>
      <c r="D28" s="55" t="str">
        <f t="shared" si="7"/>
        <v/>
      </c>
      <c r="E28" s="56">
        <f>SUM(C$6:C28)</f>
        <v>0</v>
      </c>
      <c r="F28" s="53" t="str">
        <f t="shared" si="11"/>
        <v/>
      </c>
      <c r="G28" s="54" t="str">
        <f t="shared" si="10"/>
        <v/>
      </c>
      <c r="H28" s="55" t="str">
        <f>IF(F28&lt;&gt;"",SUM(F$6:F28),"")</f>
        <v/>
      </c>
      <c r="I28" s="56">
        <f>SUM(G$6:G28)</f>
        <v>0</v>
      </c>
      <c r="J28" s="57" t="str">
        <f t="shared" si="3"/>
        <v/>
      </c>
      <c r="K28" s="58" t="str">
        <f t="shared" si="4"/>
        <v/>
      </c>
      <c r="L28" s="58" t="str">
        <f t="shared" si="5"/>
        <v/>
      </c>
      <c r="M28" s="59" t="str">
        <f t="shared" si="6"/>
        <v/>
      </c>
      <c r="N28" s="60"/>
      <c r="O28" s="61"/>
      <c r="P28" s="614" t="str">
        <f t="shared" si="8"/>
        <v/>
      </c>
      <c r="Q28" s="615" t="str">
        <f t="shared" si="9"/>
        <v/>
      </c>
      <c r="R28" s="10"/>
      <c r="S28" s="75"/>
    </row>
    <row r="29" spans="1:19" ht="12" customHeight="1">
      <c r="A29" s="52">
        <f>'Min Butikk'!A30</f>
        <v>0</v>
      </c>
      <c r="B29" s="53" t="str">
        <f t="shared" si="0"/>
        <v/>
      </c>
      <c r="C29" s="54" t="str">
        <f t="shared" si="1"/>
        <v/>
      </c>
      <c r="D29" s="55" t="str">
        <f t="shared" si="7"/>
        <v/>
      </c>
      <c r="E29" s="56">
        <f>SUM(C$6:C29)</f>
        <v>0</v>
      </c>
      <c r="F29" s="53" t="str">
        <f t="shared" si="11"/>
        <v/>
      </c>
      <c r="G29" s="54" t="str">
        <f t="shared" si="10"/>
        <v/>
      </c>
      <c r="H29" s="55" t="str">
        <f>IF(F29&lt;&gt;"",SUM(F$6:F29),"")</f>
        <v/>
      </c>
      <c r="I29" s="56">
        <f>SUM(G$6:G29)</f>
        <v>0</v>
      </c>
      <c r="J29" s="57" t="str">
        <f t="shared" si="3"/>
        <v/>
      </c>
      <c r="K29" s="58" t="str">
        <f t="shared" si="4"/>
        <v/>
      </c>
      <c r="L29" s="58" t="str">
        <f t="shared" si="5"/>
        <v/>
      </c>
      <c r="M29" s="59" t="str">
        <f t="shared" si="6"/>
        <v/>
      </c>
      <c r="N29" s="60"/>
      <c r="O29" s="61"/>
      <c r="P29" s="614" t="str">
        <f t="shared" si="8"/>
        <v/>
      </c>
      <c r="Q29" s="615" t="str">
        <f t="shared" si="9"/>
        <v/>
      </c>
      <c r="R29" s="10"/>
      <c r="S29" s="75"/>
    </row>
    <row r="30" spans="1:19" ht="12" customHeight="1">
      <c r="A30" s="52">
        <f>'Min Butikk'!A31</f>
        <v>0</v>
      </c>
      <c r="B30" s="53" t="str">
        <f t="shared" si="0"/>
        <v/>
      </c>
      <c r="C30" s="54" t="str">
        <f t="shared" si="1"/>
        <v/>
      </c>
      <c r="D30" s="55" t="str">
        <f t="shared" si="7"/>
        <v/>
      </c>
      <c r="E30" s="56">
        <f>SUM(C$6:C30)</f>
        <v>0</v>
      </c>
      <c r="F30" s="53" t="str">
        <f t="shared" si="11"/>
        <v/>
      </c>
      <c r="G30" s="54" t="str">
        <f t="shared" si="10"/>
        <v/>
      </c>
      <c r="H30" s="55" t="str">
        <f>IF(F30&lt;&gt;"",SUM(F$6:F30),"")</f>
        <v/>
      </c>
      <c r="I30" s="56">
        <f>SUM(G$6:G30)</f>
        <v>0</v>
      </c>
      <c r="J30" s="57" t="str">
        <f t="shared" si="3"/>
        <v/>
      </c>
      <c r="K30" s="58" t="str">
        <f t="shared" si="4"/>
        <v/>
      </c>
      <c r="L30" s="58" t="str">
        <f t="shared" si="5"/>
        <v/>
      </c>
      <c r="M30" s="59" t="str">
        <f t="shared" si="6"/>
        <v/>
      </c>
      <c r="N30" s="60"/>
      <c r="O30" s="61"/>
      <c r="P30" s="614" t="str">
        <f t="shared" si="8"/>
        <v/>
      </c>
      <c r="Q30" s="615" t="str">
        <f t="shared" si="9"/>
        <v/>
      </c>
      <c r="R30" s="10"/>
      <c r="S30" s="75"/>
    </row>
    <row r="31" spans="1:19" ht="12" customHeight="1">
      <c r="A31" s="52">
        <f>'Min Butikk'!A32</f>
        <v>0</v>
      </c>
      <c r="B31" s="53" t="str">
        <f t="shared" si="0"/>
        <v/>
      </c>
      <c r="C31" s="54" t="str">
        <f t="shared" si="1"/>
        <v/>
      </c>
      <c r="D31" s="55" t="str">
        <f t="shared" si="7"/>
        <v/>
      </c>
      <c r="E31" s="56">
        <f>SUM(C$6:C31)</f>
        <v>0</v>
      </c>
      <c r="F31" s="53" t="str">
        <f t="shared" si="11"/>
        <v/>
      </c>
      <c r="G31" s="54" t="str">
        <f t="shared" si="10"/>
        <v/>
      </c>
      <c r="H31" s="55" t="str">
        <f>IF(F31&lt;&gt;"",SUM(F$6:F31),"")</f>
        <v/>
      </c>
      <c r="I31" s="56">
        <f>SUM(G$6:G31)</f>
        <v>0</v>
      </c>
      <c r="J31" s="57" t="str">
        <f t="shared" si="3"/>
        <v/>
      </c>
      <c r="K31" s="58" t="str">
        <f t="shared" si="4"/>
        <v/>
      </c>
      <c r="L31" s="58" t="str">
        <f t="shared" si="5"/>
        <v/>
      </c>
      <c r="M31" s="59" t="str">
        <f t="shared" si="6"/>
        <v/>
      </c>
      <c r="N31" s="60"/>
      <c r="O31" s="61"/>
      <c r="P31" s="614" t="str">
        <f t="shared" si="8"/>
        <v/>
      </c>
      <c r="Q31" s="615" t="str">
        <f t="shared" si="9"/>
        <v/>
      </c>
      <c r="R31" s="10"/>
      <c r="S31" s="75"/>
    </row>
    <row r="32" spans="1:19" ht="12" customHeight="1">
      <c r="A32" s="52">
        <f>'Min Butikk'!A33</f>
        <v>0</v>
      </c>
      <c r="B32" s="53" t="str">
        <f t="shared" si="0"/>
        <v/>
      </c>
      <c r="C32" s="54" t="str">
        <f t="shared" si="1"/>
        <v/>
      </c>
      <c r="D32" s="55" t="str">
        <f t="shared" si="7"/>
        <v/>
      </c>
      <c r="E32" s="56">
        <f>SUM(C$6:C32)</f>
        <v>0</v>
      </c>
      <c r="F32" s="53" t="str">
        <f t="shared" si="11"/>
        <v/>
      </c>
      <c r="G32" s="54" t="str">
        <f t="shared" si="10"/>
        <v/>
      </c>
      <c r="H32" s="55" t="str">
        <f>IF(F32&lt;&gt;"",SUM(F$6:F32),"")</f>
        <v/>
      </c>
      <c r="I32" s="56">
        <f>SUM(G$6:G32)</f>
        <v>0</v>
      </c>
      <c r="J32" s="57" t="str">
        <f t="shared" si="3"/>
        <v/>
      </c>
      <c r="K32" s="58" t="str">
        <f t="shared" si="4"/>
        <v/>
      </c>
      <c r="L32" s="58" t="str">
        <f t="shared" si="5"/>
        <v/>
      </c>
      <c r="M32" s="59" t="str">
        <f t="shared" si="6"/>
        <v/>
      </c>
      <c r="N32" s="60"/>
      <c r="O32" s="61"/>
      <c r="P32" s="614" t="str">
        <f t="shared" si="8"/>
        <v/>
      </c>
      <c r="Q32" s="615" t="str">
        <f t="shared" si="9"/>
        <v/>
      </c>
      <c r="R32" s="10"/>
      <c r="S32" s="75"/>
    </row>
    <row r="33" spans="1:19" ht="12" customHeight="1">
      <c r="A33" s="52">
        <f>'Min Butikk'!A34</f>
        <v>0</v>
      </c>
      <c r="B33" s="53" t="str">
        <f t="shared" si="0"/>
        <v/>
      </c>
      <c r="C33" s="54" t="str">
        <f t="shared" si="1"/>
        <v/>
      </c>
      <c r="D33" s="55" t="str">
        <f t="shared" si="7"/>
        <v/>
      </c>
      <c r="E33" s="56">
        <f>SUM(C$6:C33)</f>
        <v>0</v>
      </c>
      <c r="F33" s="53" t="str">
        <f t="shared" si="11"/>
        <v/>
      </c>
      <c r="G33" s="54" t="str">
        <f t="shared" si="10"/>
        <v/>
      </c>
      <c r="H33" s="55" t="str">
        <f>IF(F33&lt;&gt;"",SUM(F$6:F33),"")</f>
        <v/>
      </c>
      <c r="I33" s="56">
        <f>SUM(G$6:G33)</f>
        <v>0</v>
      </c>
      <c r="J33" s="57" t="str">
        <f t="shared" si="3"/>
        <v/>
      </c>
      <c r="K33" s="58" t="str">
        <f t="shared" si="4"/>
        <v/>
      </c>
      <c r="L33" s="58" t="str">
        <f t="shared" si="5"/>
        <v/>
      </c>
      <c r="M33" s="59" t="str">
        <f t="shared" si="6"/>
        <v/>
      </c>
      <c r="N33" s="60"/>
      <c r="O33" s="61"/>
      <c r="P33" s="614" t="str">
        <f t="shared" si="8"/>
        <v/>
      </c>
      <c r="Q33" s="615" t="str">
        <f t="shared" si="9"/>
        <v/>
      </c>
      <c r="R33" s="10"/>
      <c r="S33" s="75"/>
    </row>
    <row r="34" spans="1:19" ht="12" customHeight="1">
      <c r="A34" s="52">
        <f>'Min Butikk'!A35</f>
        <v>0</v>
      </c>
      <c r="B34" s="53" t="str">
        <f t="shared" si="0"/>
        <v/>
      </c>
      <c r="C34" s="54" t="str">
        <f t="shared" si="1"/>
        <v/>
      </c>
      <c r="D34" s="55" t="str">
        <f t="shared" si="7"/>
        <v/>
      </c>
      <c r="E34" s="56">
        <f>SUM(C$6:C34)</f>
        <v>0</v>
      </c>
      <c r="F34" s="53" t="str">
        <f t="shared" si="11"/>
        <v/>
      </c>
      <c r="G34" s="54" t="str">
        <f t="shared" si="10"/>
        <v/>
      </c>
      <c r="H34" s="55" t="str">
        <f>IF(F34&lt;&gt;"",SUM(F$6:F34),"")</f>
        <v/>
      </c>
      <c r="I34" s="56">
        <f>SUM(G$6:G34)</f>
        <v>0</v>
      </c>
      <c r="J34" s="57" t="str">
        <f t="shared" si="3"/>
        <v/>
      </c>
      <c r="K34" s="58" t="str">
        <f t="shared" si="4"/>
        <v/>
      </c>
      <c r="L34" s="58" t="str">
        <f t="shared" si="5"/>
        <v/>
      </c>
      <c r="M34" s="59" t="str">
        <f t="shared" si="6"/>
        <v/>
      </c>
      <c r="N34" s="60"/>
      <c r="O34" s="61"/>
      <c r="P34" s="614" t="str">
        <f t="shared" si="8"/>
        <v/>
      </c>
      <c r="Q34" s="615" t="str">
        <f t="shared" si="9"/>
        <v/>
      </c>
      <c r="R34" s="10"/>
      <c r="S34" s="75"/>
    </row>
    <row r="35" spans="1:19" ht="12" customHeight="1">
      <c r="A35" s="52">
        <f>'Min Butikk'!A36</f>
        <v>0</v>
      </c>
      <c r="B35" s="53" t="str">
        <f t="shared" si="0"/>
        <v/>
      </c>
      <c r="C35" s="54" t="str">
        <f t="shared" si="1"/>
        <v/>
      </c>
      <c r="D35" s="55" t="str">
        <f t="shared" si="7"/>
        <v/>
      </c>
      <c r="E35" s="56">
        <f>SUM(C$6:C35)</f>
        <v>0</v>
      </c>
      <c r="F35" s="53" t="str">
        <f t="shared" si="11"/>
        <v/>
      </c>
      <c r="G35" s="54" t="str">
        <f t="shared" si="10"/>
        <v/>
      </c>
      <c r="H35" s="55" t="str">
        <f>IF(F35&lt;&gt;"",SUM(F$6:F35),"")</f>
        <v/>
      </c>
      <c r="I35" s="56">
        <f>SUM(G$6:G35)</f>
        <v>0</v>
      </c>
      <c r="J35" s="57" t="str">
        <f t="shared" si="3"/>
        <v/>
      </c>
      <c r="K35" s="58" t="str">
        <f t="shared" si="4"/>
        <v/>
      </c>
      <c r="L35" s="58" t="str">
        <f t="shared" si="5"/>
        <v/>
      </c>
      <c r="M35" s="59" t="str">
        <f t="shared" si="6"/>
        <v/>
      </c>
      <c r="N35" s="60"/>
      <c r="O35" s="61"/>
      <c r="P35" s="614" t="str">
        <f t="shared" si="8"/>
        <v/>
      </c>
      <c r="Q35" s="615" t="str">
        <f t="shared" si="9"/>
        <v/>
      </c>
      <c r="R35" s="10"/>
      <c r="S35" s="75"/>
    </row>
    <row r="36" spans="1:19" ht="12" customHeight="1">
      <c r="A36" s="52">
        <f>'Min Butikk'!A37</f>
        <v>0</v>
      </c>
      <c r="B36" s="53" t="str">
        <f t="shared" si="0"/>
        <v/>
      </c>
      <c r="C36" s="54" t="str">
        <f t="shared" si="1"/>
        <v/>
      </c>
      <c r="D36" s="55" t="str">
        <f t="shared" si="7"/>
        <v/>
      </c>
      <c r="E36" s="56">
        <f>SUM(C$6:C36)</f>
        <v>0</v>
      </c>
      <c r="F36" s="53" t="str">
        <f t="shared" si="11"/>
        <v/>
      </c>
      <c r="G36" s="54" t="str">
        <f t="shared" si="10"/>
        <v/>
      </c>
      <c r="H36" s="55" t="str">
        <f>IF(F36&lt;&gt;"",SUM(F$6:F36),"")</f>
        <v/>
      </c>
      <c r="I36" s="56">
        <f>SUM(G$6:G36)</f>
        <v>0</v>
      </c>
      <c r="J36" s="57" t="str">
        <f t="shared" si="3"/>
        <v/>
      </c>
      <c r="K36" s="58" t="str">
        <f t="shared" si="4"/>
        <v/>
      </c>
      <c r="L36" s="58" t="str">
        <f t="shared" si="5"/>
        <v/>
      </c>
      <c r="M36" s="59" t="str">
        <f t="shared" si="6"/>
        <v/>
      </c>
      <c r="N36" s="60"/>
      <c r="O36" s="61"/>
      <c r="P36" s="614" t="str">
        <f t="shared" si="8"/>
        <v/>
      </c>
      <c r="Q36" s="615" t="str">
        <f t="shared" si="9"/>
        <v/>
      </c>
      <c r="R36" s="10"/>
      <c r="S36" s="75"/>
    </row>
    <row r="37" spans="1:19" ht="12" customHeight="1">
      <c r="A37" s="52">
        <f>'Min Butikk'!A38</f>
        <v>0</v>
      </c>
      <c r="B37" s="53" t="str">
        <f t="shared" si="0"/>
        <v/>
      </c>
      <c r="C37" s="54" t="str">
        <f t="shared" si="1"/>
        <v/>
      </c>
      <c r="D37" s="55" t="str">
        <f t="shared" si="7"/>
        <v/>
      </c>
      <c r="E37" s="56">
        <f>SUM(C$6:C37)</f>
        <v>0</v>
      </c>
      <c r="F37" s="53" t="str">
        <f t="shared" si="11"/>
        <v/>
      </c>
      <c r="G37" s="54" t="str">
        <f t="shared" si="10"/>
        <v/>
      </c>
      <c r="H37" s="55" t="str">
        <f>IF(F37&lt;&gt;"",SUM(F$6:F37),"")</f>
        <v/>
      </c>
      <c r="I37" s="56">
        <f>SUM(G$6:G37)</f>
        <v>0</v>
      </c>
      <c r="J37" s="57" t="str">
        <f t="shared" si="3"/>
        <v/>
      </c>
      <c r="K37" s="58" t="str">
        <f t="shared" si="4"/>
        <v/>
      </c>
      <c r="L37" s="58" t="str">
        <f t="shared" si="5"/>
        <v/>
      </c>
      <c r="M37" s="59" t="str">
        <f t="shared" si="6"/>
        <v/>
      </c>
      <c r="N37" s="60"/>
      <c r="O37" s="61"/>
      <c r="P37" s="614" t="str">
        <f t="shared" si="8"/>
        <v/>
      </c>
      <c r="Q37" s="615" t="str">
        <f t="shared" si="9"/>
        <v/>
      </c>
      <c r="R37" s="10"/>
      <c r="S37" s="75"/>
    </row>
    <row r="38" spans="1:19" ht="12" customHeight="1">
      <c r="A38" s="52">
        <f>'Min Butikk'!A39</f>
        <v>0</v>
      </c>
      <c r="B38" s="53" t="str">
        <f t="shared" si="0"/>
        <v/>
      </c>
      <c r="C38" s="54" t="str">
        <f t="shared" si="1"/>
        <v/>
      </c>
      <c r="D38" s="55" t="str">
        <f t="shared" si="7"/>
        <v/>
      </c>
      <c r="E38" s="56">
        <f>SUM(C$6:C38)</f>
        <v>0</v>
      </c>
      <c r="F38" s="53" t="str">
        <f t="shared" si="11"/>
        <v/>
      </c>
      <c r="G38" s="54" t="str">
        <f t="shared" si="10"/>
        <v/>
      </c>
      <c r="H38" s="55" t="str">
        <f>IF(F38&lt;&gt;"",SUM(F$6:F38),"")</f>
        <v/>
      </c>
      <c r="I38" s="56">
        <f>SUM(G$6:G38)</f>
        <v>0</v>
      </c>
      <c r="J38" s="57" t="str">
        <f t="shared" si="3"/>
        <v/>
      </c>
      <c r="K38" s="58" t="str">
        <f t="shared" si="4"/>
        <v/>
      </c>
      <c r="L38" s="58" t="str">
        <f t="shared" si="5"/>
        <v/>
      </c>
      <c r="M38" s="59" t="str">
        <f t="shared" si="6"/>
        <v/>
      </c>
      <c r="N38" s="60"/>
      <c r="O38" s="61"/>
      <c r="P38" s="614" t="str">
        <f t="shared" si="8"/>
        <v/>
      </c>
      <c r="Q38" s="615" t="str">
        <f t="shared" si="9"/>
        <v/>
      </c>
      <c r="R38" s="10"/>
      <c r="S38" s="75"/>
    </row>
    <row r="39" spans="1:19" ht="12" customHeight="1">
      <c r="A39" s="52">
        <f>'Min Butikk'!A40</f>
        <v>0</v>
      </c>
      <c r="B39" s="53" t="str">
        <f t="shared" ref="B39:B59" si="12">IFERROR(IF(VLOOKUP($A39,dbr,5,FALSE)=0,N39,VLOOKUP($A39,dbr,5,FALSE)),"")</f>
        <v/>
      </c>
      <c r="C39" s="54" t="str">
        <f t="shared" ref="C39:C60" si="13">IFERROR(VLOOKUP($A39,dbr,4,FALSE),"")</f>
        <v/>
      </c>
      <c r="D39" s="55" t="str">
        <f t="shared" si="7"/>
        <v/>
      </c>
      <c r="E39" s="56">
        <f>SUM(C$6:C39)</f>
        <v>0</v>
      </c>
      <c r="F39" s="53" t="str">
        <f t="shared" ref="F39:F59" si="14">IFERROR(IF(VLOOKUP($A39,dbr,11,FALSE)=0,O39,VLOOKUP($A39,dbr,11,FALSE)*-1),"")</f>
        <v/>
      </c>
      <c r="G39" s="54" t="str">
        <f t="shared" si="10"/>
        <v/>
      </c>
      <c r="H39" s="55" t="str">
        <f>IF(F39&lt;&gt;"",SUM(F$6:F39),"")</f>
        <v/>
      </c>
      <c r="I39" s="56">
        <f>SUM(G$6:G39)</f>
        <v>0</v>
      </c>
      <c r="J39" s="57" t="str">
        <f t="shared" ref="J39:J60" si="15">IFERROR(F39/B39,"")</f>
        <v/>
      </c>
      <c r="K39" s="58" t="str">
        <f t="shared" ref="K39:K60" si="16">IFERROR((VLOOKUP($A39,dbr,12,FALSE)*-1),"")</f>
        <v/>
      </c>
      <c r="L39" s="58" t="str">
        <f t="shared" ref="L39:L60" si="17">IFERROR(IF(B39=0,"",H39/D39),"")</f>
        <v/>
      </c>
      <c r="M39" s="59" t="str">
        <f t="shared" ref="M39:M60" si="18">IFERROR((VLOOKUP($A39,dbr,14,FALSE)*-1),"")</f>
        <v/>
      </c>
      <c r="N39" s="60"/>
      <c r="O39" s="61"/>
      <c r="P39" s="614" t="str">
        <f t="shared" si="8"/>
        <v/>
      </c>
      <c r="Q39" s="615" t="str">
        <f t="shared" si="9"/>
        <v/>
      </c>
      <c r="R39" s="10"/>
      <c r="S39" s="75"/>
    </row>
    <row r="40" spans="1:19" ht="12" customHeight="1">
      <c r="A40" s="52">
        <f>'Min Butikk'!A41</f>
        <v>0</v>
      </c>
      <c r="B40" s="53" t="str">
        <f t="shared" si="12"/>
        <v/>
      </c>
      <c r="C40" s="54" t="str">
        <f t="shared" si="13"/>
        <v/>
      </c>
      <c r="D40" s="55" t="str">
        <f t="shared" ref="D40:D60" si="19">IFERROR(IF(B40&lt;&gt;"",B40+D39,D39+C40),"")</f>
        <v/>
      </c>
      <c r="E40" s="56">
        <f>SUM(C$6:C40)</f>
        <v>0</v>
      </c>
      <c r="F40" s="53" t="str">
        <f t="shared" si="14"/>
        <v/>
      </c>
      <c r="G40" s="54" t="str">
        <f t="shared" si="10"/>
        <v/>
      </c>
      <c r="H40" s="55" t="str">
        <f>IF(F40&lt;&gt;"",SUM(F$6:F40),"")</f>
        <v/>
      </c>
      <c r="I40" s="56">
        <f>SUM(G$6:G40)</f>
        <v>0</v>
      </c>
      <c r="J40" s="57" t="str">
        <f t="shared" si="15"/>
        <v/>
      </c>
      <c r="K40" s="58" t="str">
        <f t="shared" si="16"/>
        <v/>
      </c>
      <c r="L40" s="58" t="str">
        <f t="shared" si="17"/>
        <v/>
      </c>
      <c r="M40" s="59" t="str">
        <f t="shared" si="18"/>
        <v/>
      </c>
      <c r="N40" s="60"/>
      <c r="O40" s="61"/>
      <c r="P40" s="614" t="str">
        <f t="shared" si="8"/>
        <v/>
      </c>
      <c r="Q40" s="615" t="str">
        <f t="shared" si="9"/>
        <v/>
      </c>
      <c r="R40" s="10"/>
      <c r="S40" s="75"/>
    </row>
    <row r="41" spans="1:19" ht="12" customHeight="1">
      <c r="A41" s="52">
        <f>'Min Butikk'!A42</f>
        <v>0</v>
      </c>
      <c r="B41" s="53" t="str">
        <f t="shared" si="12"/>
        <v/>
      </c>
      <c r="C41" s="54" t="str">
        <f t="shared" si="13"/>
        <v/>
      </c>
      <c r="D41" s="55" t="str">
        <f t="shared" si="19"/>
        <v/>
      </c>
      <c r="E41" s="56">
        <f>SUM(C$6:C41)</f>
        <v>0</v>
      </c>
      <c r="F41" s="53" t="str">
        <f t="shared" si="14"/>
        <v/>
      </c>
      <c r="G41" s="54" t="str">
        <f t="shared" si="10"/>
        <v/>
      </c>
      <c r="H41" s="55" t="str">
        <f>IF(F41&lt;&gt;"",SUM(F$6:F41),"")</f>
        <v/>
      </c>
      <c r="I41" s="56">
        <f>SUM(G$6:G41)</f>
        <v>0</v>
      </c>
      <c r="J41" s="57" t="str">
        <f t="shared" si="15"/>
        <v/>
      </c>
      <c r="K41" s="58" t="str">
        <f t="shared" si="16"/>
        <v/>
      </c>
      <c r="L41" s="58" t="str">
        <f t="shared" si="17"/>
        <v/>
      </c>
      <c r="M41" s="59" t="str">
        <f t="shared" si="18"/>
        <v/>
      </c>
      <c r="N41" s="60"/>
      <c r="O41" s="61"/>
      <c r="P41" s="614" t="str">
        <f t="shared" si="8"/>
        <v/>
      </c>
      <c r="Q41" s="615" t="str">
        <f t="shared" si="9"/>
        <v/>
      </c>
      <c r="R41" s="10"/>
      <c r="S41" s="75"/>
    </row>
    <row r="42" spans="1:19" ht="12" customHeight="1">
      <c r="A42" s="52">
        <f>'Min Butikk'!A43</f>
        <v>0</v>
      </c>
      <c r="B42" s="53" t="str">
        <f t="shared" si="12"/>
        <v/>
      </c>
      <c r="C42" s="54" t="str">
        <f t="shared" si="13"/>
        <v/>
      </c>
      <c r="D42" s="55" t="str">
        <f t="shared" si="19"/>
        <v/>
      </c>
      <c r="E42" s="56">
        <f>SUM(C$6:C42)</f>
        <v>0</v>
      </c>
      <c r="F42" s="53" t="str">
        <f t="shared" si="14"/>
        <v/>
      </c>
      <c r="G42" s="54" t="str">
        <f t="shared" si="10"/>
        <v/>
      </c>
      <c r="H42" s="55" t="str">
        <f>IF(F42&lt;&gt;"",SUM(F$6:F42),"")</f>
        <v/>
      </c>
      <c r="I42" s="56">
        <f>SUM(G$6:G42)</f>
        <v>0</v>
      </c>
      <c r="J42" s="57" t="str">
        <f t="shared" si="15"/>
        <v/>
      </c>
      <c r="K42" s="58" t="str">
        <f t="shared" si="16"/>
        <v/>
      </c>
      <c r="L42" s="58" t="str">
        <f t="shared" si="17"/>
        <v/>
      </c>
      <c r="M42" s="59" t="str">
        <f t="shared" si="18"/>
        <v/>
      </c>
      <c r="N42" s="60"/>
      <c r="O42" s="61"/>
      <c r="P42" s="614" t="str">
        <f t="shared" si="8"/>
        <v/>
      </c>
      <c r="Q42" s="615" t="str">
        <f t="shared" si="9"/>
        <v/>
      </c>
      <c r="R42" s="10"/>
      <c r="S42" s="75"/>
    </row>
    <row r="43" spans="1:19" ht="12" customHeight="1">
      <c r="A43" s="52">
        <f>'Min Butikk'!A44</f>
        <v>0</v>
      </c>
      <c r="B43" s="53" t="str">
        <f t="shared" si="12"/>
        <v/>
      </c>
      <c r="C43" s="54" t="str">
        <f t="shared" si="13"/>
        <v/>
      </c>
      <c r="D43" s="55" t="str">
        <f t="shared" si="19"/>
        <v/>
      </c>
      <c r="E43" s="56">
        <f>SUM(C$6:C43)</f>
        <v>0</v>
      </c>
      <c r="F43" s="53" t="str">
        <f t="shared" si="14"/>
        <v/>
      </c>
      <c r="G43" s="54" t="str">
        <f t="shared" si="10"/>
        <v/>
      </c>
      <c r="H43" s="55" t="str">
        <f>IF(F43&lt;&gt;"",SUM(F$6:F43),"")</f>
        <v/>
      </c>
      <c r="I43" s="56">
        <f>SUM(G$6:G43)</f>
        <v>0</v>
      </c>
      <c r="J43" s="57" t="str">
        <f t="shared" si="15"/>
        <v/>
      </c>
      <c r="K43" s="58" t="str">
        <f t="shared" si="16"/>
        <v/>
      </c>
      <c r="L43" s="58" t="str">
        <f t="shared" si="17"/>
        <v/>
      </c>
      <c r="M43" s="59" t="str">
        <f t="shared" si="18"/>
        <v/>
      </c>
      <c r="N43" s="60"/>
      <c r="O43" s="61"/>
      <c r="P43" s="614" t="str">
        <f t="shared" si="8"/>
        <v/>
      </c>
      <c r="Q43" s="615" t="str">
        <f t="shared" si="9"/>
        <v/>
      </c>
      <c r="R43" s="10"/>
      <c r="S43" s="75"/>
    </row>
    <row r="44" spans="1:19" ht="12" customHeight="1">
      <c r="A44" s="52">
        <f>'Min Butikk'!A45</f>
        <v>0</v>
      </c>
      <c r="B44" s="53" t="str">
        <f t="shared" si="12"/>
        <v/>
      </c>
      <c r="C44" s="54" t="str">
        <f t="shared" si="13"/>
        <v/>
      </c>
      <c r="D44" s="55" t="str">
        <f t="shared" si="19"/>
        <v/>
      </c>
      <c r="E44" s="56">
        <f>SUM(C$6:C44)</f>
        <v>0</v>
      </c>
      <c r="F44" s="53" t="str">
        <f t="shared" si="14"/>
        <v/>
      </c>
      <c r="G44" s="54" t="str">
        <f t="shared" si="10"/>
        <v/>
      </c>
      <c r="H44" s="55" t="str">
        <f>IF(F44&lt;&gt;"",SUM(F$6:F44),"")</f>
        <v/>
      </c>
      <c r="I44" s="56">
        <f>SUM(G$6:G44)</f>
        <v>0</v>
      </c>
      <c r="J44" s="57" t="str">
        <f t="shared" si="15"/>
        <v/>
      </c>
      <c r="K44" s="58" t="str">
        <f t="shared" si="16"/>
        <v/>
      </c>
      <c r="L44" s="58" t="str">
        <f t="shared" si="17"/>
        <v/>
      </c>
      <c r="M44" s="59" t="str">
        <f t="shared" si="18"/>
        <v/>
      </c>
      <c r="N44" s="60"/>
      <c r="O44" s="61"/>
      <c r="P44" s="614" t="str">
        <f t="shared" si="8"/>
        <v/>
      </c>
      <c r="Q44" s="615" t="str">
        <f t="shared" si="9"/>
        <v/>
      </c>
      <c r="R44" s="10"/>
      <c r="S44" s="75"/>
    </row>
    <row r="45" spans="1:19" ht="12" customHeight="1">
      <c r="A45" s="52">
        <f>'Min Butikk'!A46</f>
        <v>0</v>
      </c>
      <c r="B45" s="53" t="str">
        <f t="shared" si="12"/>
        <v/>
      </c>
      <c r="C45" s="54" t="str">
        <f t="shared" si="13"/>
        <v/>
      </c>
      <c r="D45" s="55" t="str">
        <f t="shared" si="19"/>
        <v/>
      </c>
      <c r="E45" s="56">
        <f>SUM(C$6:C45)</f>
        <v>0</v>
      </c>
      <c r="F45" s="53" t="str">
        <f t="shared" si="14"/>
        <v/>
      </c>
      <c r="G45" s="54" t="str">
        <f t="shared" si="10"/>
        <v/>
      </c>
      <c r="H45" s="55" t="str">
        <f>IF(F45&lt;&gt;"",SUM(F$6:F45),"")</f>
        <v/>
      </c>
      <c r="I45" s="56">
        <f>SUM(G$6:G45)</f>
        <v>0</v>
      </c>
      <c r="J45" s="57" t="str">
        <f t="shared" si="15"/>
        <v/>
      </c>
      <c r="K45" s="58" t="str">
        <f t="shared" si="16"/>
        <v/>
      </c>
      <c r="L45" s="58" t="str">
        <f t="shared" si="17"/>
        <v/>
      </c>
      <c r="M45" s="59" t="str">
        <f t="shared" si="18"/>
        <v/>
      </c>
      <c r="N45" s="60"/>
      <c r="O45" s="61"/>
      <c r="P45" s="614" t="str">
        <f t="shared" si="8"/>
        <v/>
      </c>
      <c r="Q45" s="615" t="str">
        <f t="shared" si="9"/>
        <v/>
      </c>
      <c r="R45" s="10"/>
      <c r="S45" s="75"/>
    </row>
    <row r="46" spans="1:19" ht="12" customHeight="1">
      <c r="A46" s="52">
        <f>'Min Butikk'!A47</f>
        <v>0</v>
      </c>
      <c r="B46" s="53" t="str">
        <f t="shared" si="12"/>
        <v/>
      </c>
      <c r="C46" s="54" t="str">
        <f t="shared" si="13"/>
        <v/>
      </c>
      <c r="D46" s="55" t="str">
        <f t="shared" si="19"/>
        <v/>
      </c>
      <c r="E46" s="56">
        <f>SUM(C$6:C46)</f>
        <v>0</v>
      </c>
      <c r="F46" s="53" t="str">
        <f t="shared" si="14"/>
        <v/>
      </c>
      <c r="G46" s="54" t="str">
        <f t="shared" si="10"/>
        <v/>
      </c>
      <c r="H46" s="55" t="str">
        <f>IF(F46&lt;&gt;"",SUM(F$6:F46),"")</f>
        <v/>
      </c>
      <c r="I46" s="56">
        <f>SUM(G$6:G46)</f>
        <v>0</v>
      </c>
      <c r="J46" s="57" t="str">
        <f t="shared" si="15"/>
        <v/>
      </c>
      <c r="K46" s="58" t="str">
        <f t="shared" si="16"/>
        <v/>
      </c>
      <c r="L46" s="58" t="str">
        <f t="shared" si="17"/>
        <v/>
      </c>
      <c r="M46" s="59" t="str">
        <f t="shared" si="18"/>
        <v/>
      </c>
      <c r="N46" s="60"/>
      <c r="O46" s="61"/>
      <c r="P46" s="614" t="str">
        <f t="shared" si="8"/>
        <v/>
      </c>
      <c r="Q46" s="615" t="str">
        <f t="shared" si="9"/>
        <v/>
      </c>
      <c r="R46" s="10"/>
      <c r="S46" s="75"/>
    </row>
    <row r="47" spans="1:19" ht="12" customHeight="1">
      <c r="A47" s="52">
        <f>'Min Butikk'!A48</f>
        <v>0</v>
      </c>
      <c r="B47" s="53" t="str">
        <f t="shared" si="12"/>
        <v/>
      </c>
      <c r="C47" s="54" t="str">
        <f t="shared" si="13"/>
        <v/>
      </c>
      <c r="D47" s="55" t="str">
        <f t="shared" si="19"/>
        <v/>
      </c>
      <c r="E47" s="56">
        <f>SUM(C$6:C47)</f>
        <v>0</v>
      </c>
      <c r="F47" s="53" t="str">
        <f t="shared" si="14"/>
        <v/>
      </c>
      <c r="G47" s="54" t="str">
        <f t="shared" si="10"/>
        <v/>
      </c>
      <c r="H47" s="55" t="str">
        <f>IF(F47&lt;&gt;"",SUM(F$6:F47),"")</f>
        <v/>
      </c>
      <c r="I47" s="56">
        <f>SUM(G$6:G47)</f>
        <v>0</v>
      </c>
      <c r="J47" s="57" t="str">
        <f t="shared" si="15"/>
        <v/>
      </c>
      <c r="K47" s="58" t="str">
        <f t="shared" si="16"/>
        <v/>
      </c>
      <c r="L47" s="58" t="str">
        <f t="shared" si="17"/>
        <v/>
      </c>
      <c r="M47" s="59" t="str">
        <f t="shared" si="18"/>
        <v/>
      </c>
      <c r="N47" s="60"/>
      <c r="O47" s="61"/>
      <c r="P47" s="614" t="str">
        <f t="shared" si="8"/>
        <v/>
      </c>
      <c r="Q47" s="615" t="str">
        <f t="shared" si="9"/>
        <v/>
      </c>
      <c r="R47" s="10"/>
      <c r="S47" s="75"/>
    </row>
    <row r="48" spans="1:19" ht="12" customHeight="1">
      <c r="A48" s="52">
        <f>'Min Butikk'!A49</f>
        <v>0</v>
      </c>
      <c r="B48" s="53" t="str">
        <f t="shared" si="12"/>
        <v/>
      </c>
      <c r="C48" s="54" t="str">
        <f t="shared" si="13"/>
        <v/>
      </c>
      <c r="D48" s="55" t="str">
        <f t="shared" si="19"/>
        <v/>
      </c>
      <c r="E48" s="56">
        <f>SUM(C$6:C48)</f>
        <v>0</v>
      </c>
      <c r="F48" s="53" t="str">
        <f t="shared" si="14"/>
        <v/>
      </c>
      <c r="G48" s="54" t="str">
        <f t="shared" si="10"/>
        <v/>
      </c>
      <c r="H48" s="55" t="str">
        <f>IF(F48&lt;&gt;"",SUM(F$6:F48),"")</f>
        <v/>
      </c>
      <c r="I48" s="56">
        <f>SUM(G$6:G48)</f>
        <v>0</v>
      </c>
      <c r="J48" s="57" t="str">
        <f t="shared" si="15"/>
        <v/>
      </c>
      <c r="K48" s="58" t="str">
        <f t="shared" si="16"/>
        <v/>
      </c>
      <c r="L48" s="58" t="str">
        <f t="shared" si="17"/>
        <v/>
      </c>
      <c r="M48" s="59" t="str">
        <f t="shared" si="18"/>
        <v/>
      </c>
      <c r="N48" s="60"/>
      <c r="O48" s="61"/>
      <c r="P48" s="614" t="str">
        <f t="shared" si="8"/>
        <v/>
      </c>
      <c r="Q48" s="615" t="str">
        <f t="shared" si="9"/>
        <v/>
      </c>
      <c r="R48" s="10"/>
      <c r="S48" s="75"/>
    </row>
    <row r="49" spans="1:19" ht="12" customHeight="1">
      <c r="A49" s="52">
        <f>'Min Butikk'!A50</f>
        <v>0</v>
      </c>
      <c r="B49" s="53" t="str">
        <f t="shared" si="12"/>
        <v/>
      </c>
      <c r="C49" s="54" t="str">
        <f t="shared" si="13"/>
        <v/>
      </c>
      <c r="D49" s="55" t="str">
        <f t="shared" si="19"/>
        <v/>
      </c>
      <c r="E49" s="56">
        <f>SUM(C$6:C49)</f>
        <v>0</v>
      </c>
      <c r="F49" s="53" t="str">
        <f t="shared" si="14"/>
        <v/>
      </c>
      <c r="G49" s="54" t="str">
        <f t="shared" si="10"/>
        <v/>
      </c>
      <c r="H49" s="55" t="str">
        <f>IF(F49&lt;&gt;"",SUM(F$6:F49),"")</f>
        <v/>
      </c>
      <c r="I49" s="56">
        <f>SUM(G$6:G49)</f>
        <v>0</v>
      </c>
      <c r="J49" s="57" t="str">
        <f t="shared" si="15"/>
        <v/>
      </c>
      <c r="K49" s="58" t="str">
        <f t="shared" si="16"/>
        <v/>
      </c>
      <c r="L49" s="58" t="str">
        <f t="shared" si="17"/>
        <v/>
      </c>
      <c r="M49" s="59" t="str">
        <f t="shared" si="18"/>
        <v/>
      </c>
      <c r="N49" s="60"/>
      <c r="O49" s="61"/>
      <c r="P49" s="614" t="str">
        <f t="shared" si="8"/>
        <v/>
      </c>
      <c r="Q49" s="615" t="str">
        <f t="shared" si="9"/>
        <v/>
      </c>
      <c r="R49" s="10"/>
      <c r="S49" s="75"/>
    </row>
    <row r="50" spans="1:19" ht="12" customHeight="1">
      <c r="A50" s="52">
        <f>'Min Butikk'!A51</f>
        <v>0</v>
      </c>
      <c r="B50" s="53" t="str">
        <f t="shared" si="12"/>
        <v/>
      </c>
      <c r="C50" s="54" t="str">
        <f t="shared" si="13"/>
        <v/>
      </c>
      <c r="D50" s="55" t="str">
        <f t="shared" si="19"/>
        <v/>
      </c>
      <c r="E50" s="56">
        <f>SUM(C$6:C50)</f>
        <v>0</v>
      </c>
      <c r="F50" s="53" t="str">
        <f t="shared" si="14"/>
        <v/>
      </c>
      <c r="G50" s="54" t="str">
        <f t="shared" si="10"/>
        <v/>
      </c>
      <c r="H50" s="55" t="str">
        <f>IF(F50&lt;&gt;"",SUM(F$6:F50),"")</f>
        <v/>
      </c>
      <c r="I50" s="56">
        <f>SUM(G$6:G50)</f>
        <v>0</v>
      </c>
      <c r="J50" s="57" t="str">
        <f t="shared" si="15"/>
        <v/>
      </c>
      <c r="K50" s="58" t="str">
        <f t="shared" si="16"/>
        <v/>
      </c>
      <c r="L50" s="58" t="str">
        <f t="shared" si="17"/>
        <v/>
      </c>
      <c r="M50" s="59" t="str">
        <f t="shared" si="18"/>
        <v/>
      </c>
      <c r="N50" s="60"/>
      <c r="O50" s="61"/>
      <c r="P50" s="614" t="str">
        <f t="shared" si="8"/>
        <v/>
      </c>
      <c r="Q50" s="615" t="str">
        <f t="shared" si="9"/>
        <v/>
      </c>
      <c r="R50" s="10"/>
      <c r="S50" s="75"/>
    </row>
    <row r="51" spans="1:19" ht="12" customHeight="1">
      <c r="A51" s="52">
        <f>'Min Butikk'!A52</f>
        <v>0</v>
      </c>
      <c r="B51" s="53" t="str">
        <f t="shared" si="12"/>
        <v/>
      </c>
      <c r="C51" s="54" t="str">
        <f t="shared" si="13"/>
        <v/>
      </c>
      <c r="D51" s="55" t="str">
        <f t="shared" si="19"/>
        <v/>
      </c>
      <c r="E51" s="56">
        <f>SUM(C$6:C51)</f>
        <v>0</v>
      </c>
      <c r="F51" s="53" t="str">
        <f t="shared" si="14"/>
        <v/>
      </c>
      <c r="G51" s="54" t="str">
        <f t="shared" si="10"/>
        <v/>
      </c>
      <c r="H51" s="55" t="str">
        <f>IF(F51&lt;&gt;"",SUM(F$6:F51),"")</f>
        <v/>
      </c>
      <c r="I51" s="56">
        <f>SUM(G$6:G51)</f>
        <v>0</v>
      </c>
      <c r="J51" s="57" t="str">
        <f t="shared" si="15"/>
        <v/>
      </c>
      <c r="K51" s="58" t="str">
        <f t="shared" si="16"/>
        <v/>
      </c>
      <c r="L51" s="58" t="str">
        <f t="shared" si="17"/>
        <v/>
      </c>
      <c r="M51" s="59" t="str">
        <f t="shared" si="18"/>
        <v/>
      </c>
      <c r="N51" s="60"/>
      <c r="O51" s="61"/>
      <c r="P51" s="614" t="str">
        <f t="shared" si="8"/>
        <v/>
      </c>
      <c r="Q51" s="615" t="str">
        <f t="shared" si="9"/>
        <v/>
      </c>
      <c r="R51" s="10"/>
      <c r="S51" s="75"/>
    </row>
    <row r="52" spans="1:19" ht="12" customHeight="1">
      <c r="A52" s="52">
        <f>'Min Butikk'!A53</f>
        <v>0</v>
      </c>
      <c r="B52" s="53" t="str">
        <f t="shared" si="12"/>
        <v/>
      </c>
      <c r="C52" s="54" t="str">
        <f t="shared" si="13"/>
        <v/>
      </c>
      <c r="D52" s="55" t="str">
        <f t="shared" si="19"/>
        <v/>
      </c>
      <c r="E52" s="56">
        <f>SUM(C$6:C52)</f>
        <v>0</v>
      </c>
      <c r="F52" s="53" t="str">
        <f t="shared" si="14"/>
        <v/>
      </c>
      <c r="G52" s="54" t="str">
        <f t="shared" si="10"/>
        <v/>
      </c>
      <c r="H52" s="55" t="str">
        <f>IF(F52&lt;&gt;"",SUM(F$6:F52),"")</f>
        <v/>
      </c>
      <c r="I52" s="56">
        <f>SUM(G$6:G52)</f>
        <v>0</v>
      </c>
      <c r="J52" s="57" t="str">
        <f t="shared" si="15"/>
        <v/>
      </c>
      <c r="K52" s="58" t="str">
        <f t="shared" si="16"/>
        <v/>
      </c>
      <c r="L52" s="58" t="str">
        <f t="shared" si="17"/>
        <v/>
      </c>
      <c r="M52" s="59" t="str">
        <f t="shared" si="18"/>
        <v/>
      </c>
      <c r="N52" s="60"/>
      <c r="O52" s="61"/>
      <c r="P52" s="614" t="str">
        <f t="shared" si="8"/>
        <v/>
      </c>
      <c r="Q52" s="615" t="str">
        <f t="shared" si="9"/>
        <v/>
      </c>
      <c r="R52" s="10"/>
      <c r="S52" s="75"/>
    </row>
    <row r="53" spans="1:19" ht="12" customHeight="1">
      <c r="A53" s="52">
        <f>'Min Butikk'!A54</f>
        <v>0</v>
      </c>
      <c r="B53" s="53" t="str">
        <f t="shared" si="12"/>
        <v/>
      </c>
      <c r="C53" s="54" t="str">
        <f t="shared" si="13"/>
        <v/>
      </c>
      <c r="D53" s="55" t="str">
        <f t="shared" si="19"/>
        <v/>
      </c>
      <c r="E53" s="56">
        <f>SUM(C$6:C53)</f>
        <v>0</v>
      </c>
      <c r="F53" s="53" t="str">
        <f t="shared" si="14"/>
        <v/>
      </c>
      <c r="G53" s="54" t="str">
        <f t="shared" si="10"/>
        <v/>
      </c>
      <c r="H53" s="55" t="str">
        <f>IF(F53&lt;&gt;"",SUM(F$6:F53),"")</f>
        <v/>
      </c>
      <c r="I53" s="56">
        <f>SUM(G$6:G53)</f>
        <v>0</v>
      </c>
      <c r="J53" s="57" t="str">
        <f t="shared" si="15"/>
        <v/>
      </c>
      <c r="K53" s="58" t="str">
        <f t="shared" si="16"/>
        <v/>
      </c>
      <c r="L53" s="58" t="str">
        <f t="shared" si="17"/>
        <v/>
      </c>
      <c r="M53" s="59" t="str">
        <f t="shared" si="18"/>
        <v/>
      </c>
      <c r="N53" s="60"/>
      <c r="O53" s="61"/>
      <c r="P53" s="614" t="str">
        <f t="shared" si="8"/>
        <v/>
      </c>
      <c r="Q53" s="615" t="str">
        <f t="shared" si="9"/>
        <v/>
      </c>
      <c r="R53" s="10"/>
      <c r="S53" s="75"/>
    </row>
    <row r="54" spans="1:19" ht="12" customHeight="1">
      <c r="A54" s="52">
        <f>'Min Butikk'!A55</f>
        <v>0</v>
      </c>
      <c r="B54" s="53" t="str">
        <f t="shared" si="12"/>
        <v/>
      </c>
      <c r="C54" s="54" t="str">
        <f t="shared" si="13"/>
        <v/>
      </c>
      <c r="D54" s="55" t="str">
        <f t="shared" si="19"/>
        <v/>
      </c>
      <c r="E54" s="56">
        <f>SUM(C$6:C54)</f>
        <v>0</v>
      </c>
      <c r="F54" s="53" t="str">
        <f t="shared" si="14"/>
        <v/>
      </c>
      <c r="G54" s="54" t="str">
        <f t="shared" si="10"/>
        <v/>
      </c>
      <c r="H54" s="55" t="str">
        <f>IF(F54&lt;&gt;"",SUM(F$6:F54),"")</f>
        <v/>
      </c>
      <c r="I54" s="56">
        <f>SUM(G$6:G54)</f>
        <v>0</v>
      </c>
      <c r="J54" s="57" t="str">
        <f t="shared" si="15"/>
        <v/>
      </c>
      <c r="K54" s="58" t="str">
        <f t="shared" si="16"/>
        <v/>
      </c>
      <c r="L54" s="58" t="str">
        <f t="shared" si="17"/>
        <v/>
      </c>
      <c r="M54" s="59" t="str">
        <f t="shared" si="18"/>
        <v/>
      </c>
      <c r="N54" s="60"/>
      <c r="O54" s="61"/>
      <c r="P54" s="614" t="str">
        <f t="shared" si="8"/>
        <v/>
      </c>
      <c r="Q54" s="615" t="str">
        <f t="shared" si="9"/>
        <v/>
      </c>
      <c r="R54" s="10"/>
      <c r="S54" s="75"/>
    </row>
    <row r="55" spans="1:19" ht="12" customHeight="1">
      <c r="A55" s="52">
        <f>'Min Butikk'!A56</f>
        <v>0</v>
      </c>
      <c r="B55" s="53" t="str">
        <f t="shared" si="12"/>
        <v/>
      </c>
      <c r="C55" s="54" t="str">
        <f t="shared" si="13"/>
        <v/>
      </c>
      <c r="D55" s="55" t="str">
        <f t="shared" si="19"/>
        <v/>
      </c>
      <c r="E55" s="56">
        <f>SUM(C$6:C55)</f>
        <v>0</v>
      </c>
      <c r="F55" s="53" t="str">
        <f t="shared" si="14"/>
        <v/>
      </c>
      <c r="G55" s="54" t="str">
        <f t="shared" si="10"/>
        <v/>
      </c>
      <c r="H55" s="55" t="str">
        <f>IF(F55&lt;&gt;"",SUM(F$6:F55),"")</f>
        <v/>
      </c>
      <c r="I55" s="56">
        <f>SUM(G$6:G55)</f>
        <v>0</v>
      </c>
      <c r="J55" s="57" t="str">
        <f t="shared" si="15"/>
        <v/>
      </c>
      <c r="K55" s="58" t="str">
        <f t="shared" si="16"/>
        <v/>
      </c>
      <c r="L55" s="58" t="str">
        <f t="shared" si="17"/>
        <v/>
      </c>
      <c r="M55" s="59" t="str">
        <f t="shared" si="18"/>
        <v/>
      </c>
      <c r="N55" s="60"/>
      <c r="O55" s="61"/>
      <c r="P55" s="614" t="str">
        <f t="shared" si="8"/>
        <v/>
      </c>
      <c r="Q55" s="615" t="str">
        <f t="shared" si="9"/>
        <v/>
      </c>
      <c r="R55" s="10"/>
      <c r="S55" s="75"/>
    </row>
    <row r="56" spans="1:19" ht="12" customHeight="1">
      <c r="A56" s="52">
        <f>'Min Butikk'!A57</f>
        <v>0</v>
      </c>
      <c r="B56" s="53" t="str">
        <f t="shared" si="12"/>
        <v/>
      </c>
      <c r="C56" s="54" t="str">
        <f t="shared" si="13"/>
        <v/>
      </c>
      <c r="D56" s="55" t="str">
        <f t="shared" si="19"/>
        <v/>
      </c>
      <c r="E56" s="56">
        <f>SUM(C$6:C56)</f>
        <v>0</v>
      </c>
      <c r="F56" s="53" t="str">
        <f t="shared" si="14"/>
        <v/>
      </c>
      <c r="G56" s="54" t="str">
        <f t="shared" si="10"/>
        <v/>
      </c>
      <c r="H56" s="55" t="str">
        <f>IF(F56&lt;&gt;"",SUM(F$6:F56),"")</f>
        <v/>
      </c>
      <c r="I56" s="56">
        <f>SUM(G$6:G56)</f>
        <v>0</v>
      </c>
      <c r="J56" s="57" t="str">
        <f t="shared" si="15"/>
        <v/>
      </c>
      <c r="K56" s="58" t="str">
        <f t="shared" si="16"/>
        <v/>
      </c>
      <c r="L56" s="58" t="str">
        <f t="shared" si="17"/>
        <v/>
      </c>
      <c r="M56" s="59" t="str">
        <f t="shared" si="18"/>
        <v/>
      </c>
      <c r="N56" s="60"/>
      <c r="O56" s="61"/>
      <c r="P56" s="614" t="str">
        <f t="shared" si="8"/>
        <v/>
      </c>
      <c r="Q56" s="615" t="str">
        <f t="shared" si="9"/>
        <v/>
      </c>
      <c r="R56" s="10"/>
      <c r="S56" s="75"/>
    </row>
    <row r="57" spans="1:19" ht="12" customHeight="1">
      <c r="A57" s="52">
        <f>'Min Butikk'!A58</f>
        <v>0</v>
      </c>
      <c r="B57" s="53" t="str">
        <f t="shared" si="12"/>
        <v/>
      </c>
      <c r="C57" s="54" t="str">
        <f t="shared" si="13"/>
        <v/>
      </c>
      <c r="D57" s="55" t="str">
        <f t="shared" si="19"/>
        <v/>
      </c>
      <c r="E57" s="56">
        <f>SUM(C$6:C57)</f>
        <v>0</v>
      </c>
      <c r="F57" s="53" t="str">
        <f t="shared" si="14"/>
        <v/>
      </c>
      <c r="G57" s="54" t="str">
        <f t="shared" si="10"/>
        <v/>
      </c>
      <c r="H57" s="55" t="str">
        <f>IF(F57&lt;&gt;"",SUM(F$6:F57),"")</f>
        <v/>
      </c>
      <c r="I57" s="56">
        <f>SUM(G$6:G57)</f>
        <v>0</v>
      </c>
      <c r="J57" s="57" t="str">
        <f t="shared" si="15"/>
        <v/>
      </c>
      <c r="K57" s="58" t="str">
        <f t="shared" si="16"/>
        <v/>
      </c>
      <c r="L57" s="58" t="str">
        <f t="shared" si="17"/>
        <v/>
      </c>
      <c r="M57" s="59" t="str">
        <f t="shared" si="18"/>
        <v/>
      </c>
      <c r="N57" s="60"/>
      <c r="O57" s="61"/>
      <c r="P57" s="614" t="str">
        <f t="shared" si="8"/>
        <v/>
      </c>
      <c r="Q57" s="615" t="str">
        <f t="shared" si="9"/>
        <v/>
      </c>
      <c r="R57" s="10"/>
      <c r="S57" s="75"/>
    </row>
    <row r="58" spans="1:19" ht="12" customHeight="1">
      <c r="A58" s="52">
        <f>'Min Butikk'!A59</f>
        <v>0</v>
      </c>
      <c r="B58" s="53" t="str">
        <f t="shared" si="12"/>
        <v/>
      </c>
      <c r="C58" s="54" t="str">
        <f t="shared" si="13"/>
        <v/>
      </c>
      <c r="D58" s="55" t="str">
        <f t="shared" si="19"/>
        <v/>
      </c>
      <c r="E58" s="56">
        <f>SUM(C$6:C58)</f>
        <v>0</v>
      </c>
      <c r="F58" s="53" t="str">
        <f t="shared" si="14"/>
        <v/>
      </c>
      <c r="G58" s="54" t="str">
        <f t="shared" si="10"/>
        <v/>
      </c>
      <c r="H58" s="55" t="str">
        <f>IF(F58&lt;&gt;"",SUM(F$6:F58),"")</f>
        <v/>
      </c>
      <c r="I58" s="56">
        <f>SUM(G$6:G58)</f>
        <v>0</v>
      </c>
      <c r="J58" s="57" t="str">
        <f t="shared" si="15"/>
        <v/>
      </c>
      <c r="K58" s="58" t="str">
        <f t="shared" si="16"/>
        <v/>
      </c>
      <c r="L58" s="58" t="str">
        <f t="shared" si="17"/>
        <v/>
      </c>
      <c r="M58" s="59" t="str">
        <f t="shared" si="18"/>
        <v/>
      </c>
      <c r="N58" s="60"/>
      <c r="O58" s="61"/>
      <c r="P58" s="614" t="str">
        <f t="shared" si="8"/>
        <v/>
      </c>
      <c r="Q58" s="615" t="str">
        <f t="shared" si="9"/>
        <v/>
      </c>
      <c r="R58" s="10"/>
      <c r="S58" s="75"/>
    </row>
    <row r="59" spans="1:19" ht="12" customHeight="1">
      <c r="A59" s="52">
        <f>'Min Butikk'!A60</f>
        <v>0</v>
      </c>
      <c r="B59" s="53" t="str">
        <f t="shared" si="12"/>
        <v/>
      </c>
      <c r="C59" s="54" t="str">
        <f t="shared" si="13"/>
        <v/>
      </c>
      <c r="D59" s="55" t="str">
        <f t="shared" si="19"/>
        <v/>
      </c>
      <c r="E59" s="56">
        <f>SUM(C$6:C59)</f>
        <v>0</v>
      </c>
      <c r="F59" s="53" t="str">
        <f t="shared" si="14"/>
        <v/>
      </c>
      <c r="G59" s="54" t="str">
        <f t="shared" si="10"/>
        <v/>
      </c>
      <c r="H59" s="55" t="str">
        <f>IF(F59&lt;&gt;"",SUM(F$6:F59),"")</f>
        <v/>
      </c>
      <c r="I59" s="56">
        <f>SUM(G$6:G59)</f>
        <v>0</v>
      </c>
      <c r="J59" s="57" t="str">
        <f t="shared" si="15"/>
        <v/>
      </c>
      <c r="K59" s="58" t="str">
        <f t="shared" si="16"/>
        <v/>
      </c>
      <c r="L59" s="58" t="str">
        <f t="shared" si="17"/>
        <v/>
      </c>
      <c r="M59" s="59" t="str">
        <f t="shared" si="18"/>
        <v/>
      </c>
      <c r="N59" s="60"/>
      <c r="O59" s="61"/>
      <c r="P59" s="614" t="str">
        <f t="shared" si="8"/>
        <v/>
      </c>
      <c r="Q59" s="615" t="str">
        <f t="shared" si="9"/>
        <v/>
      </c>
      <c r="R59" s="10"/>
      <c r="S59" s="75"/>
    </row>
    <row r="60" spans="1:19" ht="12" customHeight="1" thickBot="1">
      <c r="A60" s="52">
        <f>'Min Butikk'!A61</f>
        <v>0</v>
      </c>
      <c r="B60" s="62" t="str">
        <f>IF(N60&lt;&gt;"",N60,IFERROR(VLOOKUP($A60,dbr,5,FALSE),""))</f>
        <v/>
      </c>
      <c r="C60" s="63" t="str">
        <f t="shared" si="13"/>
        <v/>
      </c>
      <c r="D60" s="63" t="str">
        <f t="shared" si="19"/>
        <v/>
      </c>
      <c r="E60" s="64">
        <f>SUM(C$6:C60)</f>
        <v>0</v>
      </c>
      <c r="F60" s="62" t="str">
        <f>IFERROR(IF(VLOOKUP($A60,dbr,11,FALSE)=0,O60,VLOOKUP($A60,dbr,11,FALSE)*-1),"")</f>
        <v/>
      </c>
      <c r="G60" s="54" t="str">
        <f t="shared" si="10"/>
        <v/>
      </c>
      <c r="H60" s="64" t="str">
        <f>IF(F60&lt;&gt;"",SUM(F$6:F60),"")</f>
        <v/>
      </c>
      <c r="I60" s="65">
        <f>SUM(G$6:G60)</f>
        <v>0</v>
      </c>
      <c r="J60" s="66" t="str">
        <f t="shared" si="15"/>
        <v/>
      </c>
      <c r="K60" s="67" t="str">
        <f t="shared" si="16"/>
        <v/>
      </c>
      <c r="L60" s="67" t="str">
        <f t="shared" si="17"/>
        <v/>
      </c>
      <c r="M60" s="59" t="str">
        <f t="shared" si="18"/>
        <v/>
      </c>
      <c r="N60" s="60"/>
      <c r="O60" s="61"/>
      <c r="P60" s="614" t="str">
        <f t="shared" si="8"/>
        <v/>
      </c>
      <c r="Q60" s="615" t="str">
        <f t="shared" si="9"/>
        <v/>
      </c>
      <c r="S60" s="75"/>
    </row>
    <row r="61" spans="1:19">
      <c r="A61" s="68"/>
      <c r="B61" s="69"/>
      <c r="C61" s="69"/>
      <c r="D61" s="70"/>
      <c r="E61" s="70"/>
      <c r="F61" s="69"/>
      <c r="G61" s="69"/>
      <c r="H61" s="69"/>
      <c r="I61" s="69"/>
      <c r="J61" s="71"/>
      <c r="K61" s="69"/>
      <c r="L61" s="69"/>
      <c r="M61" s="69"/>
      <c r="N61" s="72"/>
      <c r="O61" s="72"/>
      <c r="P61" s="72"/>
      <c r="Q61" s="72"/>
    </row>
    <row r="62" spans="1:19">
      <c r="A62" s="73"/>
      <c r="D62" s="74"/>
      <c r="E62" s="74"/>
      <c r="J62" s="75"/>
      <c r="N62" s="76"/>
      <c r="O62" s="76"/>
      <c r="P62" s="76"/>
      <c r="Q62" s="76"/>
    </row>
    <row r="63" spans="1:19">
      <c r="A63" s="73"/>
      <c r="D63" s="74"/>
      <c r="E63" s="74"/>
      <c r="J63" s="75"/>
      <c r="N63" s="76"/>
      <c r="O63" s="76"/>
      <c r="P63" s="76"/>
      <c r="Q63" s="76"/>
    </row>
    <row r="64" spans="1:19">
      <c r="A64" s="73"/>
      <c r="D64" s="74"/>
      <c r="E64" s="74"/>
      <c r="J64" s="75"/>
      <c r="N64" s="76"/>
      <c r="O64" s="76"/>
      <c r="P64" s="76"/>
      <c r="Q64" s="76"/>
    </row>
    <row r="65" spans="1:17">
      <c r="A65" s="73"/>
      <c r="D65" s="74"/>
      <c r="E65" s="74"/>
      <c r="J65" s="75"/>
      <c r="N65" s="76"/>
      <c r="O65" s="76"/>
      <c r="P65" s="76"/>
      <c r="Q65" s="76"/>
    </row>
    <row r="66" spans="1:17">
      <c r="A66" s="73"/>
      <c r="D66" s="74"/>
      <c r="E66" s="74"/>
      <c r="J66" s="75"/>
      <c r="N66" s="76"/>
      <c r="O66" s="76"/>
      <c r="P66" s="76"/>
      <c r="Q66" s="76"/>
    </row>
    <row r="67" spans="1:17">
      <c r="A67" s="73"/>
      <c r="D67" s="74"/>
      <c r="E67" s="74"/>
      <c r="J67" s="75"/>
      <c r="N67" s="76"/>
      <c r="O67" s="76"/>
      <c r="P67" s="76"/>
      <c r="Q67" s="76"/>
    </row>
    <row r="68" spans="1:17">
      <c r="A68" s="73"/>
      <c r="D68" s="74"/>
      <c r="E68" s="74"/>
      <c r="J68" s="75"/>
      <c r="N68" s="76"/>
      <c r="O68" s="76"/>
      <c r="P68" s="76"/>
      <c r="Q68" s="76"/>
    </row>
    <row r="69" spans="1:17">
      <c r="A69" s="73"/>
      <c r="D69" s="74"/>
      <c r="E69" s="74"/>
      <c r="J69" s="75"/>
      <c r="N69" s="76"/>
      <c r="O69" s="76"/>
      <c r="P69" s="76"/>
      <c r="Q69" s="76"/>
    </row>
    <row r="70" spans="1:17">
      <c r="A70" s="73"/>
      <c r="D70" s="74"/>
      <c r="E70" s="74"/>
      <c r="J70" s="75"/>
      <c r="N70" s="76"/>
      <c r="O70" s="76"/>
      <c r="P70" s="76"/>
      <c r="Q70" s="76"/>
    </row>
    <row r="71" spans="1:17">
      <c r="A71" s="73"/>
      <c r="D71" s="74"/>
      <c r="E71" s="74"/>
      <c r="J71" s="75"/>
      <c r="N71" s="76"/>
      <c r="O71" s="76"/>
      <c r="P71" s="76"/>
      <c r="Q71" s="76"/>
    </row>
    <row r="72" spans="1:17">
      <c r="A72" s="73"/>
      <c r="D72" s="74"/>
      <c r="E72" s="74"/>
      <c r="J72" s="75"/>
      <c r="N72" s="76"/>
      <c r="O72" s="76"/>
      <c r="P72" s="76"/>
      <c r="Q72" s="76"/>
    </row>
    <row r="73" spans="1:17">
      <c r="A73" s="73"/>
      <c r="D73" s="74"/>
      <c r="E73" s="74"/>
      <c r="J73" s="75"/>
      <c r="N73" s="76"/>
      <c r="O73" s="76"/>
      <c r="P73" s="76"/>
      <c r="Q73" s="76"/>
    </row>
    <row r="74" spans="1:17">
      <c r="A74" s="73"/>
      <c r="D74" s="74"/>
      <c r="E74" s="74"/>
      <c r="J74" s="75"/>
      <c r="N74" s="76"/>
      <c r="O74" s="76"/>
      <c r="P74" s="76"/>
      <c r="Q74" s="76"/>
    </row>
    <row r="75" spans="1:17">
      <c r="A75" s="73"/>
      <c r="D75" s="74"/>
      <c r="E75" s="74"/>
      <c r="J75" s="75"/>
      <c r="N75" s="76"/>
      <c r="O75" s="76"/>
      <c r="P75" s="76"/>
      <c r="Q75" s="76"/>
    </row>
    <row r="76" spans="1:17">
      <c r="A76" s="73"/>
      <c r="D76" s="74"/>
      <c r="E76" s="74"/>
      <c r="J76" s="75"/>
      <c r="N76" s="76"/>
      <c r="O76" s="76"/>
      <c r="P76" s="76"/>
      <c r="Q76" s="76"/>
    </row>
    <row r="77" spans="1:17">
      <c r="A77" s="73"/>
      <c r="D77" s="74"/>
      <c r="E77" s="74"/>
      <c r="J77" s="75"/>
      <c r="N77" s="76"/>
      <c r="O77" s="76"/>
      <c r="P77" s="76"/>
      <c r="Q77" s="76"/>
    </row>
    <row r="78" spans="1:17">
      <c r="A78" s="73"/>
      <c r="D78" s="74"/>
      <c r="E78" s="74"/>
      <c r="J78" s="75"/>
      <c r="N78" s="76"/>
      <c r="O78" s="76"/>
      <c r="P78" s="76"/>
      <c r="Q78" s="76"/>
    </row>
    <row r="79" spans="1:17">
      <c r="A79" s="73"/>
      <c r="D79" s="74"/>
      <c r="E79" s="74"/>
      <c r="J79" s="75"/>
      <c r="N79" s="76"/>
      <c r="O79" s="76"/>
      <c r="P79" s="76"/>
      <c r="Q79" s="76"/>
    </row>
  </sheetData>
  <sheetProtection sheet="1" objects="1" scenarios="1"/>
  <mergeCells count="14">
    <mergeCell ref="P4:Q4"/>
    <mergeCell ref="P5:Q5"/>
    <mergeCell ref="N5:O5"/>
    <mergeCell ref="B2:N3"/>
    <mergeCell ref="B4:E4"/>
    <mergeCell ref="F4:I4"/>
    <mergeCell ref="J4:M4"/>
    <mergeCell ref="N4:O4"/>
    <mergeCell ref="B5:C5"/>
    <mergeCell ref="D5:E5"/>
    <mergeCell ref="F5:G5"/>
    <mergeCell ref="H5:I5"/>
    <mergeCell ref="J5:K5"/>
    <mergeCell ref="L5:M5"/>
  </mergeCells>
  <conditionalFormatting sqref="B7:B60">
    <cfRule type="cellIs" dxfId="95" priority="4" operator="equal">
      <formula>$N7</formula>
    </cfRule>
  </conditionalFormatting>
  <conditionalFormatting sqref="F7:F60">
    <cfRule type="cellIs" dxfId="94" priority="3" operator="equal">
      <formula>$O7</formula>
    </cfRule>
  </conditionalFormatting>
  <conditionalFormatting sqref="J7:J60">
    <cfRule type="cellIs" dxfId="93" priority="2" operator="equal">
      <formula>$O7</formula>
    </cfRule>
  </conditionalFormatting>
  <conditionalFormatting sqref="S8:S60">
    <cfRule type="colorScale" priority="1">
      <colorScale>
        <cfvo type="min"/>
        <cfvo type="percentile" val="50"/>
        <cfvo type="max"/>
        <color rgb="FFF8696B"/>
        <color rgb="FFFCFCFF"/>
        <color rgb="FF5A8AC6"/>
      </colorScale>
    </cfRule>
  </conditionalFormatting>
  <pageMargins left="0.17" right="0.17" top="0.33" bottom="0.74803149606299213" header="0.31496062992125984" footer="0.31496062992125984"/>
  <pageSetup paperSize="9" scale="70" orientation="portrait" r:id="rId1"/>
  <headerFooter>
    <oddFooter>&amp;L&amp;1#&amp;"Calibri"&amp;8 Classification: Open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
  <sheetViews>
    <sheetView workbookViewId="0"/>
  </sheetViews>
  <sheetFormatPr baseColWidth="10" defaultColWidth="11.42578125" defaultRowHeight="15"/>
  <sheetData/>
  <sheetProtection sheet="1" objects="1" scenarios="1"/>
  <pageMargins left="0.7" right="0.7" top="0.75" bottom="0.75" header="0.3" footer="0.3"/>
  <pageSetup paperSize="9" orientation="portrait" r:id="rId1"/>
  <headerFooter>
    <oddFooter>&amp;L&amp;1#&amp;"Calibri"&amp;8 Classification: Open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pageSetUpPr fitToPage="1"/>
  </sheetPr>
  <dimension ref="A1:R61"/>
  <sheetViews>
    <sheetView zoomScaleNormal="100" workbookViewId="0">
      <selection activeCell="L44" sqref="L44"/>
    </sheetView>
  </sheetViews>
  <sheetFormatPr baseColWidth="10" defaultColWidth="9.140625" defaultRowHeight="11.25"/>
  <cols>
    <col min="1" max="1" width="2.7109375" style="265" customWidth="1"/>
    <col min="2" max="2" width="6.140625" style="265" bestFit="1" customWidth="1"/>
    <col min="3" max="3" width="8" style="265" bestFit="1" customWidth="1"/>
    <col min="4" max="4" width="7" style="265" bestFit="1" customWidth="1"/>
    <col min="5" max="5" width="6.140625" style="265" bestFit="1" customWidth="1"/>
    <col min="6" max="6" width="8" style="265" bestFit="1" customWidth="1"/>
    <col min="7" max="7" width="7" style="265" bestFit="1" customWidth="1"/>
    <col min="8" max="8" width="6.140625" style="265" bestFit="1" customWidth="1"/>
    <col min="9" max="9" width="8.140625" style="265" bestFit="1" customWidth="1"/>
    <col min="10" max="10" width="7" style="265" bestFit="1" customWidth="1"/>
    <col min="11" max="11" width="6.140625" style="265" bestFit="1" customWidth="1"/>
    <col min="12" max="12" width="8" style="265" bestFit="1" customWidth="1"/>
    <col min="13" max="13" width="7" style="265" bestFit="1" customWidth="1"/>
    <col min="14" max="16384" width="9.140625" style="265"/>
  </cols>
  <sheetData>
    <row r="1" spans="1:18" customFormat="1" ht="24" customHeight="1">
      <c r="A1" s="896" t="str">
        <f>sysX!A2</f>
        <v>4301</v>
      </c>
      <c r="B1" s="896"/>
      <c r="C1" s="282"/>
      <c r="D1" s="81" t="str">
        <f>sysX!A6</f>
        <v>2019</v>
      </c>
      <c r="E1" s="77"/>
      <c r="F1" s="77"/>
      <c r="G1" s="77"/>
      <c r="H1" s="77"/>
      <c r="I1" s="77"/>
      <c r="J1" s="77"/>
      <c r="K1" s="77"/>
      <c r="L1" s="77"/>
      <c r="M1" s="77"/>
      <c r="N1" s="77"/>
      <c r="O1" s="77"/>
      <c r="P1" s="77"/>
      <c r="Q1" s="77"/>
      <c r="R1" s="77"/>
    </row>
    <row r="2" spans="1:18" customFormat="1" ht="15" customHeight="1">
      <c r="A2" s="895" t="s">
        <v>62</v>
      </c>
      <c r="B2" s="895"/>
      <c r="C2" s="895"/>
      <c r="D2" s="895"/>
      <c r="E2" s="895"/>
      <c r="F2" s="895"/>
      <c r="G2" s="895"/>
      <c r="H2" s="895"/>
      <c r="I2" s="895"/>
      <c r="J2" s="895"/>
      <c r="K2" s="895"/>
      <c r="L2" s="895"/>
      <c r="M2" s="895"/>
      <c r="N2" s="895"/>
      <c r="O2" s="895"/>
      <c r="P2" s="895"/>
      <c r="Q2" s="895"/>
      <c r="R2" s="895"/>
    </row>
    <row r="3" spans="1:18" customFormat="1" ht="15.75" customHeight="1">
      <c r="A3" s="895"/>
      <c r="B3" s="895"/>
      <c r="C3" s="895"/>
      <c r="D3" s="895"/>
      <c r="E3" s="895"/>
      <c r="F3" s="895"/>
      <c r="G3" s="895"/>
      <c r="H3" s="895"/>
      <c r="I3" s="895"/>
      <c r="J3" s="895"/>
      <c r="K3" s="895"/>
      <c r="L3" s="895"/>
      <c r="M3" s="895"/>
      <c r="N3" s="895"/>
      <c r="O3" s="895"/>
      <c r="P3" s="895"/>
      <c r="Q3" s="895"/>
      <c r="R3" s="895"/>
    </row>
    <row r="4" spans="1:18" ht="12.75">
      <c r="A4" s="225"/>
      <c r="B4" s="897" t="s">
        <v>54</v>
      </c>
      <c r="C4" s="898"/>
      <c r="D4" s="899"/>
      <c r="E4" s="897" t="s">
        <v>55</v>
      </c>
      <c r="F4" s="898"/>
      <c r="G4" s="899"/>
      <c r="H4" s="897" t="s">
        <v>56</v>
      </c>
      <c r="I4" s="898"/>
      <c r="J4" s="899"/>
      <c r="K4" s="897" t="s">
        <v>57</v>
      </c>
      <c r="L4" s="898"/>
      <c r="M4" s="899"/>
      <c r="N4" s="897" t="s">
        <v>58</v>
      </c>
      <c r="O4" s="898"/>
      <c r="P4" s="898"/>
      <c r="Q4" s="898"/>
      <c r="R4" s="899"/>
    </row>
    <row r="5" spans="1:18" ht="12" thickBot="1">
      <c r="A5" s="281"/>
      <c r="B5" s="281" t="s">
        <v>59</v>
      </c>
      <c r="C5" s="281" t="s">
        <v>60</v>
      </c>
      <c r="D5" s="281" t="s">
        <v>61</v>
      </c>
      <c r="E5" s="281" t="s">
        <v>59</v>
      </c>
      <c r="F5" s="281" t="s">
        <v>60</v>
      </c>
      <c r="G5" s="281" t="s">
        <v>61</v>
      </c>
      <c r="H5" s="284" t="s">
        <v>59</v>
      </c>
      <c r="I5" s="284" t="s">
        <v>60</v>
      </c>
      <c r="J5" s="284" t="s">
        <v>61</v>
      </c>
      <c r="K5" s="281" t="s">
        <v>59</v>
      </c>
      <c r="L5" s="281" t="s">
        <v>60</v>
      </c>
      <c r="M5" s="281" t="s">
        <v>61</v>
      </c>
      <c r="N5" s="900"/>
      <c r="O5" s="901"/>
      <c r="P5" s="901"/>
      <c r="Q5" s="901"/>
      <c r="R5" s="902"/>
    </row>
    <row r="6" spans="1:18">
      <c r="A6" s="266">
        <v>0</v>
      </c>
      <c r="B6" s="267"/>
      <c r="C6" s="268"/>
      <c r="D6" s="270" t="str">
        <f>IFERROR(B6/C6,"")</f>
        <v/>
      </c>
      <c r="E6" s="267"/>
      <c r="F6" s="268"/>
      <c r="G6" s="283" t="str">
        <f>IFERROR(E6/F6,"")</f>
        <v/>
      </c>
      <c r="H6" s="285">
        <f>IF(C6&gt;0,B6,0)</f>
        <v>0</v>
      </c>
      <c r="I6" s="286">
        <f>IF(D6&gt;0,C6,0)</f>
        <v>0</v>
      </c>
      <c r="J6" s="287" t="str">
        <f>IFERROR(H6/I6,"")</f>
        <v/>
      </c>
      <c r="K6" s="285">
        <f>IF(F6&gt;0,E6,0)</f>
        <v>0</v>
      </c>
      <c r="L6" s="286">
        <f>IF(G6&gt;0,F6,0)</f>
        <v>0</v>
      </c>
      <c r="M6" s="287" t="str">
        <f>IFERROR(K6/L6,"")</f>
        <v/>
      </c>
      <c r="N6" s="272"/>
      <c r="O6" s="272"/>
      <c r="P6" s="272"/>
      <c r="Q6" s="272"/>
      <c r="R6" s="273"/>
    </row>
    <row r="7" spans="1:18">
      <c r="A7" s="266">
        <v>1</v>
      </c>
      <c r="B7" s="267">
        <v>0</v>
      </c>
      <c r="C7" s="268">
        <v>0</v>
      </c>
      <c r="D7" s="270" t="str">
        <f t="shared" ref="D7:D59" si="0">IFERROR(B7/C7,"")</f>
        <v/>
      </c>
      <c r="E7" s="267">
        <v>114</v>
      </c>
      <c r="F7" s="268">
        <v>609</v>
      </c>
      <c r="G7" s="283">
        <f t="shared" ref="G7:G59" si="1">IFERROR(E7/F7,"")</f>
        <v>0.18719211822660098</v>
      </c>
      <c r="H7" s="271">
        <f>IFERROR(IF(C7="","",SUM(B$6:B6)+B7),"")</f>
        <v>0</v>
      </c>
      <c r="I7" s="269" t="str">
        <f>IFERROR(IF(D7="","",SUM(C$6:C6)+C7),"")</f>
        <v/>
      </c>
      <c r="J7" s="270" t="str">
        <f t="shared" ref="J7:J59" si="2">IFERROR(H7/I7,"")</f>
        <v/>
      </c>
      <c r="K7" s="271">
        <f>IFERROR(IF(F7="","",SUM(E$6:E6)+E7),"")</f>
        <v>114</v>
      </c>
      <c r="L7" s="269">
        <f>IFERROR(IF(G7="","",SUM(F$6:F6)+F7),"")</f>
        <v>609</v>
      </c>
      <c r="M7" s="270">
        <f t="shared" ref="M7:M59" si="3">IFERROR(K7/L7,"")</f>
        <v>0.18719211822660098</v>
      </c>
      <c r="N7" s="272"/>
      <c r="O7" s="272"/>
      <c r="P7" s="272"/>
      <c r="Q7" s="272"/>
      <c r="R7" s="273"/>
    </row>
    <row r="8" spans="1:18">
      <c r="A8" s="266">
        <v>2</v>
      </c>
      <c r="B8" s="267"/>
      <c r="C8" s="268"/>
      <c r="D8" s="270" t="str">
        <f t="shared" si="0"/>
        <v/>
      </c>
      <c r="E8" s="267">
        <v>34</v>
      </c>
      <c r="F8" s="268">
        <v>569</v>
      </c>
      <c r="G8" s="283">
        <f t="shared" si="1"/>
        <v>5.9753954305799648E-2</v>
      </c>
      <c r="H8" s="271" t="str">
        <f>IFERROR(IF(C8="","",SUM(B$6:B7)+B8),"")</f>
        <v/>
      </c>
      <c r="I8" s="269" t="str">
        <f>IFERROR(IF(D8="","",SUM(C$6:C7)+C8),"")</f>
        <v/>
      </c>
      <c r="J8" s="270" t="str">
        <f t="shared" si="2"/>
        <v/>
      </c>
      <c r="K8" s="271">
        <f>IFERROR(IF(F8="","",SUM(E$6:E7)+E8),"")</f>
        <v>148</v>
      </c>
      <c r="L8" s="269">
        <f>IFERROR(IF(G8="","",SUM(F$6:F7)+F8),"")</f>
        <v>1178</v>
      </c>
      <c r="M8" s="270">
        <f t="shared" si="3"/>
        <v>0.12563667232597622</v>
      </c>
      <c r="N8" s="272"/>
      <c r="O8" s="272"/>
      <c r="P8" s="272"/>
      <c r="Q8" s="272"/>
      <c r="R8" s="273"/>
    </row>
    <row r="9" spans="1:18">
      <c r="A9" s="266">
        <v>3</v>
      </c>
      <c r="B9" s="267"/>
      <c r="C9" s="268"/>
      <c r="D9" s="270" t="str">
        <f t="shared" si="0"/>
        <v/>
      </c>
      <c r="E9" s="267">
        <v>54</v>
      </c>
      <c r="F9" s="268">
        <v>569</v>
      </c>
      <c r="G9" s="283">
        <f t="shared" si="1"/>
        <v>9.4903339191564143E-2</v>
      </c>
      <c r="H9" s="271" t="str">
        <f>IFERROR(IF(C9="","",SUM(B$6:B8)+B9),"")</f>
        <v/>
      </c>
      <c r="I9" s="269" t="str">
        <f>IFERROR(IF(D9="","",SUM(C$6:C8)+C9),"")</f>
        <v/>
      </c>
      <c r="J9" s="270" t="str">
        <f t="shared" si="2"/>
        <v/>
      </c>
      <c r="K9" s="271">
        <f>IFERROR(IF(F9="","",SUM(E$6:E8)+E9),"")</f>
        <v>202</v>
      </c>
      <c r="L9" s="269">
        <f>IFERROR(IF(G9="","",SUM(F$6:F8)+F9),"")</f>
        <v>1747</v>
      </c>
      <c r="M9" s="270">
        <f t="shared" si="3"/>
        <v>0.11562678878076703</v>
      </c>
      <c r="N9" s="272"/>
      <c r="O9" s="272"/>
      <c r="P9" s="272"/>
      <c r="Q9" s="272"/>
      <c r="R9" s="273"/>
    </row>
    <row r="10" spans="1:18">
      <c r="A10" s="266">
        <v>4</v>
      </c>
      <c r="B10" s="267"/>
      <c r="C10" s="268"/>
      <c r="D10" s="270" t="str">
        <f t="shared" si="0"/>
        <v/>
      </c>
      <c r="E10" s="267">
        <v>6</v>
      </c>
      <c r="F10" s="268">
        <v>508</v>
      </c>
      <c r="G10" s="283">
        <f t="shared" si="1"/>
        <v>1.1811023622047244E-2</v>
      </c>
      <c r="H10" s="271" t="str">
        <f>IFERROR(IF(C10="","",SUM(B$6:B9)+B10),"")</f>
        <v/>
      </c>
      <c r="I10" s="269" t="str">
        <f>IFERROR(IF(D10="","",SUM(C$6:C9)+C10),"")</f>
        <v/>
      </c>
      <c r="J10" s="270" t="str">
        <f t="shared" si="2"/>
        <v/>
      </c>
      <c r="K10" s="271">
        <f>IFERROR(IF(F10="","",SUM(E$6:E9)+E10),"")</f>
        <v>208</v>
      </c>
      <c r="L10" s="269">
        <f>IFERROR(IF(G10="","",SUM(F$6:F9)+F10),"")</f>
        <v>2255</v>
      </c>
      <c r="M10" s="270">
        <f t="shared" si="3"/>
        <v>9.2239467849223947E-2</v>
      </c>
      <c r="N10" s="272"/>
      <c r="O10" s="272"/>
      <c r="P10" s="272"/>
      <c r="Q10" s="272"/>
      <c r="R10" s="273"/>
    </row>
    <row r="11" spans="1:18">
      <c r="A11" s="266">
        <v>5</v>
      </c>
      <c r="B11" s="267"/>
      <c r="C11" s="268"/>
      <c r="D11" s="270" t="str">
        <f t="shared" si="0"/>
        <v/>
      </c>
      <c r="E11" s="267">
        <v>23</v>
      </c>
      <c r="F11" s="268">
        <v>557</v>
      </c>
      <c r="G11" s="283">
        <f t="shared" si="1"/>
        <v>4.1292639138240578E-2</v>
      </c>
      <c r="H11" s="271" t="str">
        <f>IFERROR(IF(C11="","",SUM(B$6:B10)+B11),"")</f>
        <v/>
      </c>
      <c r="I11" s="269" t="str">
        <f>IFERROR(IF(D11="","",SUM(C$6:C10)+C11),"")</f>
        <v/>
      </c>
      <c r="J11" s="270" t="str">
        <f t="shared" si="2"/>
        <v/>
      </c>
      <c r="K11" s="271">
        <f>IFERROR(IF(F11="","",SUM(E$6:E10)+E11),"")</f>
        <v>231</v>
      </c>
      <c r="L11" s="269">
        <f>IFERROR(IF(G11="","",SUM(F$6:F10)+F11),"")</f>
        <v>2812</v>
      </c>
      <c r="M11" s="270">
        <f t="shared" si="3"/>
        <v>8.2147937411095301E-2</v>
      </c>
      <c r="N11" s="272"/>
      <c r="O11" s="272"/>
      <c r="P11" s="272"/>
      <c r="Q11" s="272"/>
      <c r="R11" s="273"/>
    </row>
    <row r="12" spans="1:18">
      <c r="A12" s="266">
        <v>6</v>
      </c>
      <c r="B12" s="267"/>
      <c r="C12" s="268"/>
      <c r="D12" s="270" t="str">
        <f t="shared" si="0"/>
        <v/>
      </c>
      <c r="E12" s="267">
        <v>68</v>
      </c>
      <c r="F12" s="268">
        <v>619</v>
      </c>
      <c r="G12" s="283">
        <f t="shared" si="1"/>
        <v>0.1098546042003231</v>
      </c>
      <c r="H12" s="271" t="str">
        <f>IFERROR(IF(C12="","",SUM(B$6:B11)+B12),"")</f>
        <v/>
      </c>
      <c r="I12" s="269" t="str">
        <f>IFERROR(IF(D12="","",SUM(C$6:C11)+C12),"")</f>
        <v/>
      </c>
      <c r="J12" s="270" t="str">
        <f t="shared" si="2"/>
        <v/>
      </c>
      <c r="K12" s="271">
        <f>IFERROR(IF(F12="","",SUM(E$6:E11)+E12),"")</f>
        <v>299</v>
      </c>
      <c r="L12" s="269">
        <f>IFERROR(IF(G12="","",SUM(F$6:F11)+F12),"")</f>
        <v>3431</v>
      </c>
      <c r="M12" s="270">
        <f t="shared" si="3"/>
        <v>8.7146604488487323E-2</v>
      </c>
      <c r="N12" s="272"/>
      <c r="O12" s="272"/>
      <c r="P12" s="272"/>
      <c r="Q12" s="272"/>
      <c r="R12" s="273"/>
    </row>
    <row r="13" spans="1:18">
      <c r="A13" s="266">
        <v>7</v>
      </c>
      <c r="B13" s="267"/>
      <c r="C13" s="268"/>
      <c r="D13" s="270" t="str">
        <f t="shared" si="0"/>
        <v/>
      </c>
      <c r="E13" s="267">
        <v>33</v>
      </c>
      <c r="F13" s="268">
        <v>600</v>
      </c>
      <c r="G13" s="283">
        <f t="shared" si="1"/>
        <v>5.5E-2</v>
      </c>
      <c r="H13" s="271" t="str">
        <f>IFERROR(IF(C13="","",SUM(B$6:B12)+B13),"")</f>
        <v/>
      </c>
      <c r="I13" s="269" t="str">
        <f>IFERROR(IF(D13="","",SUM(C$6:C12)+C13),"")</f>
        <v/>
      </c>
      <c r="J13" s="270" t="str">
        <f t="shared" si="2"/>
        <v/>
      </c>
      <c r="K13" s="271">
        <f>IFERROR(IF(F13="","",SUM(E$6:E12)+E13),"")</f>
        <v>332</v>
      </c>
      <c r="L13" s="269">
        <f>IFERROR(IF(G13="","",SUM(F$6:F12)+F13),"")</f>
        <v>4031</v>
      </c>
      <c r="M13" s="270">
        <f t="shared" si="3"/>
        <v>8.2361696849417021E-2</v>
      </c>
      <c r="N13" s="272"/>
      <c r="O13" s="272"/>
      <c r="P13" s="272"/>
      <c r="Q13" s="272"/>
      <c r="R13" s="273"/>
    </row>
    <row r="14" spans="1:18">
      <c r="A14" s="266">
        <v>8</v>
      </c>
      <c r="B14" s="267"/>
      <c r="C14" s="268"/>
      <c r="D14" s="270" t="str">
        <f t="shared" si="0"/>
        <v/>
      </c>
      <c r="E14" s="267">
        <v>0</v>
      </c>
      <c r="F14" s="268">
        <v>570</v>
      </c>
      <c r="G14" s="283">
        <f t="shared" si="1"/>
        <v>0</v>
      </c>
      <c r="H14" s="271" t="str">
        <f>IFERROR(IF(C14="","",SUM(B$6:B13)+B14),"")</f>
        <v/>
      </c>
      <c r="I14" s="269" t="str">
        <f>IFERROR(IF(D14="","",SUM(C$6:C13)+C14),"")</f>
        <v/>
      </c>
      <c r="J14" s="270" t="str">
        <f t="shared" si="2"/>
        <v/>
      </c>
      <c r="K14" s="271">
        <f>IFERROR(IF(F14="","",SUM(E$6:E13)+E14),"")</f>
        <v>332</v>
      </c>
      <c r="L14" s="269">
        <f>IFERROR(IF(G14="","",SUM(F$6:F13)+F14),"")</f>
        <v>4601</v>
      </c>
      <c r="M14" s="270">
        <f t="shared" si="3"/>
        <v>7.2158226472505971E-2</v>
      </c>
      <c r="N14" s="272"/>
      <c r="O14" s="272"/>
      <c r="P14" s="272"/>
      <c r="Q14" s="272"/>
      <c r="R14" s="273"/>
    </row>
    <row r="15" spans="1:18">
      <c r="A15" s="266">
        <v>9</v>
      </c>
      <c r="B15" s="267"/>
      <c r="C15" s="268"/>
      <c r="D15" s="270" t="str">
        <f t="shared" si="0"/>
        <v/>
      </c>
      <c r="E15" s="267">
        <v>15</v>
      </c>
      <c r="F15" s="268">
        <v>575</v>
      </c>
      <c r="G15" s="283">
        <f t="shared" si="1"/>
        <v>2.6086956521739129E-2</v>
      </c>
      <c r="H15" s="271" t="str">
        <f>IFERROR(IF(C15="","",SUM(B$6:B14)+B15),"")</f>
        <v/>
      </c>
      <c r="I15" s="269" t="str">
        <f>IFERROR(IF(D15="","",SUM(C$6:C14)+C15),"")</f>
        <v/>
      </c>
      <c r="J15" s="270" t="str">
        <f t="shared" si="2"/>
        <v/>
      </c>
      <c r="K15" s="271">
        <f>IFERROR(IF(F15="","",SUM(E$6:E14)+E15),"")</f>
        <v>347</v>
      </c>
      <c r="L15" s="269">
        <f>IFERROR(IF(G15="","",SUM(F$6:F14)+F15),"")</f>
        <v>5176</v>
      </c>
      <c r="M15" s="270">
        <f t="shared" si="3"/>
        <v>6.7040185471406485E-2</v>
      </c>
      <c r="N15" s="272"/>
      <c r="O15" s="272"/>
      <c r="P15" s="272"/>
      <c r="Q15" s="272"/>
      <c r="R15" s="273"/>
    </row>
    <row r="16" spans="1:18">
      <c r="A16" s="266">
        <v>10</v>
      </c>
      <c r="B16" s="267"/>
      <c r="C16" s="268"/>
      <c r="D16" s="270" t="str">
        <f t="shared" si="0"/>
        <v/>
      </c>
      <c r="E16" s="267">
        <v>38</v>
      </c>
      <c r="F16" s="268">
        <v>617</v>
      </c>
      <c r="G16" s="283">
        <f t="shared" si="1"/>
        <v>6.1588330632090758E-2</v>
      </c>
      <c r="H16" s="271" t="str">
        <f>IFERROR(IF(C16="","",SUM(B$6:B15)+B16),"")</f>
        <v/>
      </c>
      <c r="I16" s="269" t="str">
        <f>IFERROR(IF(D16="","",SUM(C$6:C15)+C16),"")</f>
        <v/>
      </c>
      <c r="J16" s="270" t="str">
        <f t="shared" si="2"/>
        <v/>
      </c>
      <c r="K16" s="271">
        <f>IFERROR(IF(F16="","",SUM(E$6:E15)+E16),"")</f>
        <v>385</v>
      </c>
      <c r="L16" s="269">
        <f>IFERROR(IF(G16="","",SUM(F$6:F15)+F16),"")</f>
        <v>5793</v>
      </c>
      <c r="M16" s="270">
        <f t="shared" si="3"/>
        <v>6.6459520110478162E-2</v>
      </c>
      <c r="N16" s="272"/>
      <c r="O16" s="272"/>
      <c r="P16" s="272"/>
      <c r="Q16" s="272"/>
      <c r="R16" s="273"/>
    </row>
    <row r="17" spans="1:18">
      <c r="A17" s="266">
        <v>11</v>
      </c>
      <c r="B17" s="267"/>
      <c r="C17" s="268"/>
      <c r="D17" s="270" t="str">
        <f t="shared" si="0"/>
        <v/>
      </c>
      <c r="E17" s="267">
        <v>47</v>
      </c>
      <c r="F17" s="268">
        <v>625</v>
      </c>
      <c r="G17" s="283">
        <f t="shared" si="1"/>
        <v>7.5200000000000003E-2</v>
      </c>
      <c r="H17" s="271" t="str">
        <f>IFERROR(IF(C17="","",SUM(B$6:B16)+B17),"")</f>
        <v/>
      </c>
      <c r="I17" s="269" t="str">
        <f>IFERROR(IF(D17="","",SUM(C$6:C16)+C17),"")</f>
        <v/>
      </c>
      <c r="J17" s="270" t="str">
        <f t="shared" si="2"/>
        <v/>
      </c>
      <c r="K17" s="271">
        <f>IFERROR(IF(F17="","",SUM(E$6:E16)+E17),"")</f>
        <v>432</v>
      </c>
      <c r="L17" s="269">
        <f>IFERROR(IF(G17="","",SUM(F$6:F16)+F17),"")</f>
        <v>6418</v>
      </c>
      <c r="M17" s="270">
        <f t="shared" si="3"/>
        <v>6.7310688688064821E-2</v>
      </c>
      <c r="N17" s="272"/>
      <c r="O17" s="272"/>
      <c r="P17" s="272"/>
      <c r="Q17" s="272"/>
      <c r="R17" s="273"/>
    </row>
    <row r="18" spans="1:18">
      <c r="A18" s="266">
        <v>12</v>
      </c>
      <c r="B18" s="267"/>
      <c r="C18" s="268"/>
      <c r="D18" s="270" t="str">
        <f t="shared" si="0"/>
        <v/>
      </c>
      <c r="E18" s="267">
        <v>0</v>
      </c>
      <c r="F18" s="268">
        <v>548</v>
      </c>
      <c r="G18" s="283">
        <f t="shared" si="1"/>
        <v>0</v>
      </c>
      <c r="H18" s="271" t="str">
        <f>IFERROR(IF(C18="","",SUM(B$6:B17)+B18),"")</f>
        <v/>
      </c>
      <c r="I18" s="269" t="str">
        <f>IFERROR(IF(D18="","",SUM(C$6:C17)+C18),"")</f>
        <v/>
      </c>
      <c r="J18" s="270" t="str">
        <f t="shared" si="2"/>
        <v/>
      </c>
      <c r="K18" s="271">
        <f>IFERROR(IF(F18="","",SUM(E$6:E17)+E18),"")</f>
        <v>432</v>
      </c>
      <c r="L18" s="269">
        <f>IFERROR(IF(G18="","",SUM(F$6:F17)+F18),"")</f>
        <v>6966</v>
      </c>
      <c r="M18" s="270">
        <f t="shared" si="3"/>
        <v>6.2015503875968991E-2</v>
      </c>
      <c r="N18" s="272"/>
      <c r="O18" s="272"/>
      <c r="P18" s="272"/>
      <c r="Q18" s="272"/>
      <c r="R18" s="273"/>
    </row>
    <row r="19" spans="1:18">
      <c r="A19" s="266">
        <v>13</v>
      </c>
      <c r="B19" s="267"/>
      <c r="C19" s="268"/>
      <c r="D19" s="270" t="str">
        <f t="shared" si="0"/>
        <v/>
      </c>
      <c r="E19" s="267">
        <v>0</v>
      </c>
      <c r="F19" s="268">
        <v>589</v>
      </c>
      <c r="G19" s="283">
        <f t="shared" si="1"/>
        <v>0</v>
      </c>
      <c r="H19" s="271" t="str">
        <f>IFERROR(IF(C19="","",SUM(B$6:B18)+B19),"")</f>
        <v/>
      </c>
      <c r="I19" s="269" t="str">
        <f>IFERROR(IF(D19="","",SUM(C$6:C18)+C19),"")</f>
        <v/>
      </c>
      <c r="J19" s="270" t="str">
        <f t="shared" si="2"/>
        <v/>
      </c>
      <c r="K19" s="271">
        <f>IFERROR(IF(F19="","",SUM(E$6:E18)+E19),"")</f>
        <v>432</v>
      </c>
      <c r="L19" s="269">
        <f>IFERROR(IF(G19="","",SUM(F$6:F18)+F19),"")</f>
        <v>7555</v>
      </c>
      <c r="M19" s="270">
        <f t="shared" si="3"/>
        <v>5.7180675049636004E-2</v>
      </c>
      <c r="N19" s="272"/>
      <c r="O19" s="272"/>
      <c r="P19" s="272"/>
      <c r="Q19" s="272"/>
      <c r="R19" s="273"/>
    </row>
    <row r="20" spans="1:18">
      <c r="A20" s="266">
        <v>14</v>
      </c>
      <c r="B20" s="267"/>
      <c r="C20" s="268"/>
      <c r="D20" s="270" t="str">
        <f t="shared" si="0"/>
        <v/>
      </c>
      <c r="E20" s="267">
        <v>5</v>
      </c>
      <c r="F20" s="268">
        <v>583</v>
      </c>
      <c r="G20" s="283">
        <f t="shared" si="1"/>
        <v>8.5763293310463125E-3</v>
      </c>
      <c r="H20" s="271" t="str">
        <f>IFERROR(IF(C20="","",SUM(B$6:B19)+B20),"")</f>
        <v/>
      </c>
      <c r="I20" s="269" t="str">
        <f>IFERROR(IF(D20="","",SUM(C$6:C19)+C20),"")</f>
        <v/>
      </c>
      <c r="J20" s="270" t="str">
        <f t="shared" si="2"/>
        <v/>
      </c>
      <c r="K20" s="271">
        <f>IFERROR(IF(F20="","",SUM(E$6:E19)+E20),"")</f>
        <v>437</v>
      </c>
      <c r="L20" s="269">
        <f>IFERROR(IF(G20="","",SUM(F$6:F19)+F20),"")</f>
        <v>8138</v>
      </c>
      <c r="M20" s="270">
        <f t="shared" si="3"/>
        <v>5.369869746866552E-2</v>
      </c>
      <c r="N20" s="272"/>
      <c r="O20" s="272"/>
      <c r="P20" s="272"/>
      <c r="Q20" s="272"/>
      <c r="R20" s="273"/>
    </row>
    <row r="21" spans="1:18">
      <c r="A21" s="266">
        <v>15</v>
      </c>
      <c r="B21" s="267"/>
      <c r="C21" s="268"/>
      <c r="D21" s="270" t="str">
        <f t="shared" si="0"/>
        <v/>
      </c>
      <c r="E21" s="267">
        <v>0</v>
      </c>
      <c r="F21" s="268">
        <v>554</v>
      </c>
      <c r="G21" s="283">
        <f t="shared" si="1"/>
        <v>0</v>
      </c>
      <c r="H21" s="271" t="str">
        <f>IFERROR(IF(C21="","",SUM(B$6:B20)+B21),"")</f>
        <v/>
      </c>
      <c r="I21" s="269" t="str">
        <f>IFERROR(IF(D21="","",SUM(C$6:C20)+C21),"")</f>
        <v/>
      </c>
      <c r="J21" s="270" t="str">
        <f t="shared" si="2"/>
        <v/>
      </c>
      <c r="K21" s="271">
        <f>IFERROR(IF(F21="","",SUM(E$6:E20)+E21),"")</f>
        <v>437</v>
      </c>
      <c r="L21" s="269">
        <f>IFERROR(IF(G21="","",SUM(F$6:F20)+F21),"")</f>
        <v>8692</v>
      </c>
      <c r="M21" s="270">
        <f t="shared" si="3"/>
        <v>5.0276115968706854E-2</v>
      </c>
      <c r="N21" s="272"/>
      <c r="O21" s="272"/>
      <c r="P21" s="272"/>
      <c r="Q21" s="272"/>
      <c r="R21" s="273"/>
    </row>
    <row r="22" spans="1:18">
      <c r="A22" s="266">
        <v>16</v>
      </c>
      <c r="B22" s="267"/>
      <c r="C22" s="268"/>
      <c r="D22" s="270" t="str">
        <f t="shared" si="0"/>
        <v/>
      </c>
      <c r="E22" s="267">
        <v>13</v>
      </c>
      <c r="F22" s="268">
        <v>570</v>
      </c>
      <c r="G22" s="283">
        <f t="shared" si="1"/>
        <v>2.2807017543859651E-2</v>
      </c>
      <c r="H22" s="271" t="str">
        <f>IFERROR(IF(C22="","",SUM(B$6:B21)+B22),"")</f>
        <v/>
      </c>
      <c r="I22" s="269" t="str">
        <f>IFERROR(IF(D22="","",SUM(C$6:C21)+C22),"")</f>
        <v/>
      </c>
      <c r="J22" s="270" t="str">
        <f t="shared" si="2"/>
        <v/>
      </c>
      <c r="K22" s="271">
        <f>IFERROR(IF(F22="","",SUM(E$6:E21)+E22),"")</f>
        <v>450</v>
      </c>
      <c r="L22" s="269">
        <f>IFERROR(IF(G22="","",SUM(F$6:F21)+F22),"")</f>
        <v>9262</v>
      </c>
      <c r="M22" s="270">
        <f t="shared" si="3"/>
        <v>4.8585618656877563E-2</v>
      </c>
      <c r="N22" s="272"/>
      <c r="O22" s="272"/>
      <c r="P22" s="272"/>
      <c r="Q22" s="272"/>
      <c r="R22" s="273"/>
    </row>
    <row r="23" spans="1:18">
      <c r="A23" s="266">
        <v>17</v>
      </c>
      <c r="B23" s="267"/>
      <c r="C23" s="268"/>
      <c r="D23" s="270" t="str">
        <f t="shared" si="0"/>
        <v/>
      </c>
      <c r="E23" s="267">
        <v>4</v>
      </c>
      <c r="F23" s="268">
        <v>556</v>
      </c>
      <c r="G23" s="283">
        <f t="shared" si="1"/>
        <v>7.1942446043165471E-3</v>
      </c>
      <c r="H23" s="271" t="str">
        <f>IFERROR(IF(C23="","",SUM(B$6:B22)+B23),"")</f>
        <v/>
      </c>
      <c r="I23" s="269" t="str">
        <f>IFERROR(IF(D23="","",SUM(C$6:C22)+C23),"")</f>
        <v/>
      </c>
      <c r="J23" s="270" t="str">
        <f t="shared" si="2"/>
        <v/>
      </c>
      <c r="K23" s="271">
        <f>IFERROR(IF(F23="","",SUM(E$6:E22)+E23),"")</f>
        <v>454</v>
      </c>
      <c r="L23" s="269">
        <f>IFERROR(IF(G23="","",SUM(F$6:F22)+F23),"")</f>
        <v>9818</v>
      </c>
      <c r="M23" s="270">
        <f t="shared" si="3"/>
        <v>4.6241597066612343E-2</v>
      </c>
      <c r="N23" s="272"/>
      <c r="O23" s="272"/>
      <c r="P23" s="272"/>
      <c r="Q23" s="272"/>
      <c r="R23" s="273"/>
    </row>
    <row r="24" spans="1:18">
      <c r="A24" s="266">
        <v>18</v>
      </c>
      <c r="B24" s="267"/>
      <c r="C24" s="268"/>
      <c r="D24" s="270" t="str">
        <f t="shared" si="0"/>
        <v/>
      </c>
      <c r="E24" s="267">
        <v>9</v>
      </c>
      <c r="F24" s="268">
        <v>545</v>
      </c>
      <c r="G24" s="283">
        <f t="shared" si="1"/>
        <v>1.6513761467889909E-2</v>
      </c>
      <c r="H24" s="271" t="str">
        <f>IFERROR(IF(C24="","",SUM(B$6:B23)+B24),"")</f>
        <v/>
      </c>
      <c r="I24" s="269" t="str">
        <f>IFERROR(IF(D24="","",SUM(C$6:C23)+C24),"")</f>
        <v/>
      </c>
      <c r="J24" s="270" t="str">
        <f t="shared" si="2"/>
        <v/>
      </c>
      <c r="K24" s="271">
        <f>IFERROR(IF(F24="","",SUM(E$6:E23)+E24),"")</f>
        <v>463</v>
      </c>
      <c r="L24" s="269">
        <f>IFERROR(IF(G24="","",SUM(F$6:F23)+F24),"")</f>
        <v>10363</v>
      </c>
      <c r="M24" s="270">
        <f t="shared" si="3"/>
        <v>4.4678181993631189E-2</v>
      </c>
      <c r="N24" s="272"/>
      <c r="O24" s="272"/>
      <c r="P24" s="272"/>
      <c r="Q24" s="272"/>
      <c r="R24" s="273"/>
    </row>
    <row r="25" spans="1:18">
      <c r="A25" s="266">
        <v>19</v>
      </c>
      <c r="B25" s="267"/>
      <c r="C25" s="268"/>
      <c r="D25" s="270" t="str">
        <f t="shared" si="0"/>
        <v/>
      </c>
      <c r="E25" s="267">
        <v>6</v>
      </c>
      <c r="F25" s="268">
        <v>536</v>
      </c>
      <c r="G25" s="283">
        <f t="shared" si="1"/>
        <v>1.1194029850746268E-2</v>
      </c>
      <c r="H25" s="271" t="str">
        <f>IFERROR(IF(C25="","",SUM(B$6:B24)+B25),"")</f>
        <v/>
      </c>
      <c r="I25" s="269" t="str">
        <f>IFERROR(IF(D25="","",SUM(C$6:C24)+C25),"")</f>
        <v/>
      </c>
      <c r="J25" s="270" t="str">
        <f t="shared" si="2"/>
        <v/>
      </c>
      <c r="K25" s="271">
        <f>IFERROR(IF(F25="","",SUM(E$6:E24)+E25),"")</f>
        <v>469</v>
      </c>
      <c r="L25" s="269">
        <f>IFERROR(IF(G25="","",SUM(F$6:F24)+F25),"")</f>
        <v>10899</v>
      </c>
      <c r="M25" s="270">
        <f t="shared" si="3"/>
        <v>4.3031470777135518E-2</v>
      </c>
      <c r="N25" s="272"/>
      <c r="O25" s="272"/>
      <c r="P25" s="272"/>
      <c r="Q25" s="272"/>
      <c r="R25" s="273"/>
    </row>
    <row r="26" spans="1:18">
      <c r="A26" s="266">
        <v>20</v>
      </c>
      <c r="B26" s="267"/>
      <c r="C26" s="268"/>
      <c r="D26" s="270" t="str">
        <f t="shared" si="0"/>
        <v/>
      </c>
      <c r="E26" s="267">
        <v>5</v>
      </c>
      <c r="F26" s="268">
        <v>535</v>
      </c>
      <c r="G26" s="283">
        <f t="shared" si="1"/>
        <v>9.3457943925233638E-3</v>
      </c>
      <c r="H26" s="271" t="str">
        <f>IFERROR(IF(C26="","",SUM(B$6:B25)+B26),"")</f>
        <v/>
      </c>
      <c r="I26" s="269" t="str">
        <f>IFERROR(IF(D26="","",SUM(C$6:C25)+C26),"")</f>
        <v/>
      </c>
      <c r="J26" s="270" t="str">
        <f t="shared" si="2"/>
        <v/>
      </c>
      <c r="K26" s="271">
        <f>IFERROR(IF(F26="","",SUM(E$6:E25)+E26),"")</f>
        <v>474</v>
      </c>
      <c r="L26" s="269">
        <f>IFERROR(IF(G26="","",SUM(F$6:F25)+F26),"")</f>
        <v>11434</v>
      </c>
      <c r="M26" s="270">
        <f t="shared" si="3"/>
        <v>4.1455308728354033E-2</v>
      </c>
      <c r="N26" s="272"/>
      <c r="O26" s="272"/>
      <c r="P26" s="272"/>
      <c r="Q26" s="272"/>
      <c r="R26" s="273"/>
    </row>
    <row r="27" spans="1:18">
      <c r="A27" s="266">
        <v>21</v>
      </c>
      <c r="B27" s="267"/>
      <c r="C27" s="268"/>
      <c r="D27" s="270" t="str">
        <f t="shared" si="0"/>
        <v/>
      </c>
      <c r="E27" s="267">
        <v>0</v>
      </c>
      <c r="F27" s="268">
        <v>574</v>
      </c>
      <c r="G27" s="283">
        <f t="shared" si="1"/>
        <v>0</v>
      </c>
      <c r="H27" s="271" t="str">
        <f>IFERROR(IF(C27="","",SUM(B$6:B26)+B27),"")</f>
        <v/>
      </c>
      <c r="I27" s="269" t="str">
        <f>IFERROR(IF(D27="","",SUM(C$6:C26)+C27),"")</f>
        <v/>
      </c>
      <c r="J27" s="270" t="str">
        <f t="shared" si="2"/>
        <v/>
      </c>
      <c r="K27" s="271">
        <f>IFERROR(IF(F27="","",SUM(E$6:E26)+E27),"")</f>
        <v>474</v>
      </c>
      <c r="L27" s="269">
        <f>IFERROR(IF(G27="","",SUM(F$6:F26)+F27),"")</f>
        <v>12008</v>
      </c>
      <c r="M27" s="270">
        <f t="shared" si="3"/>
        <v>3.9473684210526314E-2</v>
      </c>
      <c r="N27" s="272"/>
      <c r="O27" s="272"/>
      <c r="P27" s="272"/>
      <c r="Q27" s="272"/>
      <c r="R27" s="273"/>
    </row>
    <row r="28" spans="1:18">
      <c r="A28" s="266">
        <v>22</v>
      </c>
      <c r="B28" s="267"/>
      <c r="C28" s="268"/>
      <c r="D28" s="270" t="str">
        <f t="shared" si="0"/>
        <v/>
      </c>
      <c r="E28" s="267">
        <v>0</v>
      </c>
      <c r="F28" s="268">
        <v>529</v>
      </c>
      <c r="G28" s="283">
        <f t="shared" si="1"/>
        <v>0</v>
      </c>
      <c r="H28" s="271" t="str">
        <f>IFERROR(IF(C28="","",SUM(B$6:B27)+B28),"")</f>
        <v/>
      </c>
      <c r="I28" s="269" t="str">
        <f>IFERROR(IF(D28="","",SUM(C$6:C27)+C28),"")</f>
        <v/>
      </c>
      <c r="J28" s="270" t="str">
        <f t="shared" si="2"/>
        <v/>
      </c>
      <c r="K28" s="271">
        <f>IFERROR(IF(F28="","",SUM(E$6:E27)+E28),"")</f>
        <v>474</v>
      </c>
      <c r="L28" s="269">
        <f>IFERROR(IF(G28="","",SUM(F$6:F27)+F28),"")</f>
        <v>12537</v>
      </c>
      <c r="M28" s="270">
        <f t="shared" si="3"/>
        <v>3.7808088059344339E-2</v>
      </c>
      <c r="N28" s="272"/>
      <c r="O28" s="272"/>
      <c r="P28" s="272"/>
      <c r="Q28" s="272"/>
      <c r="R28" s="273"/>
    </row>
    <row r="29" spans="1:18">
      <c r="A29" s="266">
        <v>23</v>
      </c>
      <c r="B29" s="267"/>
      <c r="C29" s="268"/>
      <c r="D29" s="270" t="str">
        <f t="shared" si="0"/>
        <v/>
      </c>
      <c r="E29" s="267">
        <v>18</v>
      </c>
      <c r="F29" s="268">
        <v>574</v>
      </c>
      <c r="G29" s="283">
        <f t="shared" si="1"/>
        <v>3.1358885017421602E-2</v>
      </c>
      <c r="H29" s="271" t="str">
        <f>IFERROR(IF(C29="","",SUM(B$6:B28)+B29),"")</f>
        <v/>
      </c>
      <c r="I29" s="269" t="str">
        <f>IFERROR(IF(D29="","",SUM(C$6:C28)+C29),"")</f>
        <v/>
      </c>
      <c r="J29" s="270" t="str">
        <f t="shared" si="2"/>
        <v/>
      </c>
      <c r="K29" s="271">
        <f>IFERROR(IF(F29="","",SUM(E$6:E28)+E29),"")</f>
        <v>492</v>
      </c>
      <c r="L29" s="269">
        <f>IFERROR(IF(G29="","",SUM(F$6:F28)+F29),"")</f>
        <v>13111</v>
      </c>
      <c r="M29" s="270">
        <f t="shared" si="3"/>
        <v>3.7525741743574099E-2</v>
      </c>
      <c r="N29" s="272"/>
      <c r="O29" s="272"/>
      <c r="P29" s="272"/>
      <c r="Q29" s="272"/>
      <c r="R29" s="273"/>
    </row>
    <row r="30" spans="1:18">
      <c r="A30" s="266">
        <v>24</v>
      </c>
      <c r="B30" s="267"/>
      <c r="C30" s="268"/>
      <c r="D30" s="270" t="str">
        <f t="shared" si="0"/>
        <v/>
      </c>
      <c r="E30" s="267">
        <v>22</v>
      </c>
      <c r="F30" s="268">
        <v>583</v>
      </c>
      <c r="G30" s="283">
        <f t="shared" si="1"/>
        <v>3.7735849056603772E-2</v>
      </c>
      <c r="H30" s="271" t="str">
        <f>IFERROR(IF(C30="","",SUM(B$6:B29)+B30),"")</f>
        <v/>
      </c>
      <c r="I30" s="269" t="str">
        <f>IFERROR(IF(D30="","",SUM(C$6:C29)+C30),"")</f>
        <v/>
      </c>
      <c r="J30" s="270" t="str">
        <f t="shared" si="2"/>
        <v/>
      </c>
      <c r="K30" s="271">
        <f>IFERROR(IF(F30="","",SUM(E$6:E29)+E30),"")</f>
        <v>514</v>
      </c>
      <c r="L30" s="269">
        <f>IFERROR(IF(G30="","",SUM(F$6:F29)+F30),"")</f>
        <v>13694</v>
      </c>
      <c r="M30" s="270">
        <f t="shared" si="3"/>
        <v>3.7534686724112754E-2</v>
      </c>
      <c r="N30" s="272"/>
      <c r="O30" s="272"/>
      <c r="P30" s="272"/>
      <c r="Q30" s="272"/>
      <c r="R30" s="273"/>
    </row>
    <row r="31" spans="1:18">
      <c r="A31" s="266">
        <v>25</v>
      </c>
      <c r="B31" s="267"/>
      <c r="C31" s="268"/>
      <c r="D31" s="270" t="str">
        <f t="shared" si="0"/>
        <v/>
      </c>
      <c r="E31" s="267">
        <v>0</v>
      </c>
      <c r="F31" s="268">
        <v>548</v>
      </c>
      <c r="G31" s="283">
        <f t="shared" si="1"/>
        <v>0</v>
      </c>
      <c r="H31" s="271" t="str">
        <f>IFERROR(IF(C31="","",SUM(B$6:B30)+B31),"")</f>
        <v/>
      </c>
      <c r="I31" s="269" t="str">
        <f>IFERROR(IF(D31="","",SUM(C$6:C30)+C31),"")</f>
        <v/>
      </c>
      <c r="J31" s="270" t="str">
        <f t="shared" si="2"/>
        <v/>
      </c>
      <c r="K31" s="271">
        <f>IFERROR(IF(F31="","",SUM(E$6:E30)+E31),"")</f>
        <v>514</v>
      </c>
      <c r="L31" s="269">
        <f>IFERROR(IF(G31="","",SUM(F$6:F30)+F31),"")</f>
        <v>14242</v>
      </c>
      <c r="M31" s="270">
        <f t="shared" si="3"/>
        <v>3.6090436736413427E-2</v>
      </c>
      <c r="N31" s="272"/>
      <c r="O31" s="272"/>
      <c r="P31" s="272"/>
      <c r="Q31" s="272"/>
      <c r="R31" s="273"/>
    </row>
    <row r="32" spans="1:18">
      <c r="A32" s="266">
        <v>26</v>
      </c>
      <c r="B32" s="267"/>
      <c r="C32" s="268"/>
      <c r="D32" s="270" t="str">
        <f t="shared" si="0"/>
        <v/>
      </c>
      <c r="E32" s="267">
        <v>0</v>
      </c>
      <c r="F32" s="268">
        <v>492</v>
      </c>
      <c r="G32" s="283">
        <f t="shared" si="1"/>
        <v>0</v>
      </c>
      <c r="H32" s="271" t="str">
        <f>IFERROR(IF(C32="","",SUM(B$6:B31)+B32),"")</f>
        <v/>
      </c>
      <c r="I32" s="269" t="str">
        <f>IFERROR(IF(D32="","",SUM(C$6:C31)+C32),"")</f>
        <v/>
      </c>
      <c r="J32" s="270" t="str">
        <f t="shared" si="2"/>
        <v/>
      </c>
      <c r="K32" s="271">
        <f>IFERROR(IF(F32="","",SUM(E$6:E31)+E32),"")</f>
        <v>514</v>
      </c>
      <c r="L32" s="269">
        <f>IFERROR(IF(G32="","",SUM(F$6:F31)+F32),"")</f>
        <v>14734</v>
      </c>
      <c r="M32" s="270">
        <f t="shared" si="3"/>
        <v>3.4885299307723633E-2</v>
      </c>
      <c r="N32" s="272"/>
      <c r="O32" s="272"/>
      <c r="P32" s="272"/>
      <c r="Q32" s="272"/>
      <c r="R32" s="273"/>
    </row>
    <row r="33" spans="1:18">
      <c r="A33" s="266">
        <v>27</v>
      </c>
      <c r="B33" s="267"/>
      <c r="C33" s="268"/>
      <c r="D33" s="270" t="str">
        <f t="shared" si="0"/>
        <v/>
      </c>
      <c r="E33" s="267">
        <v>0</v>
      </c>
      <c r="F33" s="268">
        <v>520</v>
      </c>
      <c r="G33" s="283">
        <f t="shared" si="1"/>
        <v>0</v>
      </c>
      <c r="H33" s="271" t="str">
        <f>IFERROR(IF(C33="","",SUM(B$6:B32)+B33),"")</f>
        <v/>
      </c>
      <c r="I33" s="269" t="str">
        <f>IFERROR(IF(D33="","",SUM(C$6:C32)+C33),"")</f>
        <v/>
      </c>
      <c r="J33" s="270" t="str">
        <f t="shared" si="2"/>
        <v/>
      </c>
      <c r="K33" s="271">
        <f>IFERROR(IF(F33="","",SUM(E$6:E32)+E33),"")</f>
        <v>514</v>
      </c>
      <c r="L33" s="269">
        <f>IFERROR(IF(G33="","",SUM(F$6:F32)+F33),"")</f>
        <v>15254</v>
      </c>
      <c r="M33" s="270">
        <f t="shared" si="3"/>
        <v>3.3696079716795592E-2</v>
      </c>
      <c r="N33" s="272"/>
      <c r="O33" s="272"/>
      <c r="P33" s="272"/>
      <c r="Q33" s="272"/>
      <c r="R33" s="273"/>
    </row>
    <row r="34" spans="1:18">
      <c r="A34" s="266">
        <v>28</v>
      </c>
      <c r="B34" s="267"/>
      <c r="C34" s="268"/>
      <c r="D34" s="270" t="str">
        <f t="shared" si="0"/>
        <v/>
      </c>
      <c r="E34" s="267">
        <v>0</v>
      </c>
      <c r="F34" s="268">
        <v>488</v>
      </c>
      <c r="G34" s="283">
        <f t="shared" si="1"/>
        <v>0</v>
      </c>
      <c r="H34" s="271" t="str">
        <f>IFERROR(IF(C34="","",SUM(B$6:B33)+B34),"")</f>
        <v/>
      </c>
      <c r="I34" s="269" t="str">
        <f>IFERROR(IF(D34="","",SUM(C$6:C33)+C34),"")</f>
        <v/>
      </c>
      <c r="J34" s="270" t="str">
        <f t="shared" si="2"/>
        <v/>
      </c>
      <c r="K34" s="271">
        <f>IFERROR(IF(F34="","",SUM(E$6:E33)+E34),"")</f>
        <v>514</v>
      </c>
      <c r="L34" s="269">
        <f>IFERROR(IF(G34="","",SUM(F$6:F33)+F34),"")</f>
        <v>15742</v>
      </c>
      <c r="M34" s="270">
        <f t="shared" si="3"/>
        <v>3.2651505526616692E-2</v>
      </c>
      <c r="N34" s="272"/>
      <c r="O34" s="272"/>
      <c r="P34" s="272"/>
      <c r="Q34" s="272"/>
      <c r="R34" s="273"/>
    </row>
    <row r="35" spans="1:18">
      <c r="A35" s="266">
        <v>29</v>
      </c>
      <c r="B35" s="267"/>
      <c r="C35" s="268"/>
      <c r="D35" s="270" t="str">
        <f t="shared" si="0"/>
        <v/>
      </c>
      <c r="E35" s="267">
        <v>0</v>
      </c>
      <c r="F35" s="268">
        <v>467</v>
      </c>
      <c r="G35" s="283">
        <f t="shared" si="1"/>
        <v>0</v>
      </c>
      <c r="H35" s="271" t="str">
        <f>IFERROR(IF(C35="","",SUM(B$6:B34)+B35),"")</f>
        <v/>
      </c>
      <c r="I35" s="269" t="str">
        <f>IFERROR(IF(D35="","",SUM(C$6:C34)+C35),"")</f>
        <v/>
      </c>
      <c r="J35" s="270" t="str">
        <f t="shared" si="2"/>
        <v/>
      </c>
      <c r="K35" s="271">
        <f>IFERROR(IF(F35="","",SUM(E$6:E34)+E35),"")</f>
        <v>514</v>
      </c>
      <c r="L35" s="269">
        <f>IFERROR(IF(G35="","",SUM(F$6:F34)+F35),"")</f>
        <v>16209</v>
      </c>
      <c r="M35" s="270">
        <f t="shared" si="3"/>
        <v>3.1710777962860141E-2</v>
      </c>
      <c r="N35" s="272"/>
      <c r="O35" s="272"/>
      <c r="P35" s="272"/>
      <c r="Q35" s="272"/>
      <c r="R35" s="273"/>
    </row>
    <row r="36" spans="1:18">
      <c r="A36" s="266">
        <v>30</v>
      </c>
      <c r="B36" s="267"/>
      <c r="C36" s="268"/>
      <c r="D36" s="270" t="str">
        <f t="shared" si="0"/>
        <v/>
      </c>
      <c r="E36" s="267">
        <v>6</v>
      </c>
      <c r="F36" s="268">
        <v>476</v>
      </c>
      <c r="G36" s="283">
        <f t="shared" si="1"/>
        <v>1.2605042016806723E-2</v>
      </c>
      <c r="H36" s="271" t="str">
        <f>IFERROR(IF(C36="","",SUM(B$6:B35)+B36),"")</f>
        <v/>
      </c>
      <c r="I36" s="269" t="str">
        <f>IFERROR(IF(D36="","",SUM(C$6:C35)+C36),"")</f>
        <v/>
      </c>
      <c r="J36" s="270" t="str">
        <f t="shared" si="2"/>
        <v/>
      </c>
      <c r="K36" s="271">
        <f>IFERROR(IF(F36="","",SUM(E$6:E35)+E36),"")</f>
        <v>520</v>
      </c>
      <c r="L36" s="269">
        <f>IFERROR(IF(G36="","",SUM(F$6:F35)+F36),"")</f>
        <v>16685</v>
      </c>
      <c r="M36" s="270">
        <f t="shared" si="3"/>
        <v>3.1165717710518431E-2</v>
      </c>
      <c r="N36" s="272"/>
      <c r="O36" s="272"/>
      <c r="P36" s="272"/>
      <c r="Q36" s="272"/>
      <c r="R36" s="273"/>
    </row>
    <row r="37" spans="1:18">
      <c r="A37" s="266">
        <v>31</v>
      </c>
      <c r="B37" s="267"/>
      <c r="C37" s="268"/>
      <c r="D37" s="270" t="e">
        <f>B36/C36</f>
        <v>#DIV/0!</v>
      </c>
      <c r="E37" s="267">
        <v>4</v>
      </c>
      <c r="F37" s="268">
        <v>491</v>
      </c>
      <c r="G37" s="283">
        <f t="shared" si="1"/>
        <v>8.1466395112016286E-3</v>
      </c>
      <c r="H37" s="271" t="str">
        <f>IFERROR(IF(C37="","",SUM(B$6:B36)+B37),"")</f>
        <v/>
      </c>
      <c r="I37" s="269" t="str">
        <f>IFERROR(IF(D37="","",SUM(C$6:C36)+C37),"")</f>
        <v/>
      </c>
      <c r="J37" s="270" t="str">
        <f t="shared" si="2"/>
        <v/>
      </c>
      <c r="K37" s="271">
        <f>IFERROR(IF(F37="","",SUM(E$6:E36)+E37),"")</f>
        <v>524</v>
      </c>
      <c r="L37" s="269">
        <f>IFERROR(IF(G37="","",SUM(F$6:F36)+F37),"")</f>
        <v>17176</v>
      </c>
      <c r="M37" s="270">
        <f t="shared" si="3"/>
        <v>3.0507685142058687E-2</v>
      </c>
      <c r="N37" s="272"/>
      <c r="O37" s="272"/>
      <c r="P37" s="272"/>
      <c r="Q37" s="272"/>
      <c r="R37" s="273"/>
    </row>
    <row r="38" spans="1:18">
      <c r="A38" s="266">
        <v>32</v>
      </c>
      <c r="B38" s="267"/>
      <c r="C38" s="268"/>
      <c r="D38" s="270" t="str">
        <f t="shared" si="0"/>
        <v/>
      </c>
      <c r="E38" s="267">
        <v>19</v>
      </c>
      <c r="F38" s="268">
        <v>540</v>
      </c>
      <c r="G38" s="283">
        <f t="shared" si="1"/>
        <v>3.5185185185185187E-2</v>
      </c>
      <c r="H38" s="271" t="str">
        <f>IFERROR(IF(C38="","",SUM(B$6:B37)+B38),"")</f>
        <v/>
      </c>
      <c r="I38" s="269" t="str">
        <f>IFERROR(IF(D38="","",SUM(C$6:C37)+C38),"")</f>
        <v/>
      </c>
      <c r="J38" s="270" t="str">
        <f t="shared" si="2"/>
        <v/>
      </c>
      <c r="K38" s="271">
        <f>IFERROR(IF(F38="","",SUM(E$6:E37)+E38),"")</f>
        <v>543</v>
      </c>
      <c r="L38" s="269">
        <f>IFERROR(IF(G38="","",SUM(F$6:F37)+F38),"")</f>
        <v>17716</v>
      </c>
      <c r="M38" s="270">
        <f t="shared" si="3"/>
        <v>3.0650259652291713E-2</v>
      </c>
      <c r="N38" s="272"/>
      <c r="O38" s="272"/>
      <c r="P38" s="272"/>
      <c r="Q38" s="272"/>
      <c r="R38" s="273"/>
    </row>
    <row r="39" spans="1:18">
      <c r="A39" s="266">
        <v>33</v>
      </c>
      <c r="B39" s="267"/>
      <c r="C39" s="268"/>
      <c r="D39" s="270" t="str">
        <f t="shared" si="0"/>
        <v/>
      </c>
      <c r="E39" s="267">
        <v>19</v>
      </c>
      <c r="F39" s="268">
        <v>541</v>
      </c>
      <c r="G39" s="283">
        <f t="shared" si="1"/>
        <v>3.512014787430684E-2</v>
      </c>
      <c r="H39" s="271" t="str">
        <f>IFERROR(IF(C39="","",SUM(B$6:B38)+B39),"")</f>
        <v/>
      </c>
      <c r="I39" s="269" t="str">
        <f>IFERROR(IF(D39="","",SUM(C$6:C38)+C39),"")</f>
        <v/>
      </c>
      <c r="J39" s="270" t="str">
        <f t="shared" si="2"/>
        <v/>
      </c>
      <c r="K39" s="271">
        <f>IFERROR(IF(F39="","",SUM(E$6:E38)+E39),"")</f>
        <v>562</v>
      </c>
      <c r="L39" s="269">
        <f>IFERROR(IF(G39="","",SUM(F$6:F38)+F39),"")</f>
        <v>18257</v>
      </c>
      <c r="M39" s="270">
        <f t="shared" si="3"/>
        <v>3.0782713479761189E-2</v>
      </c>
      <c r="N39" s="272"/>
      <c r="O39" s="272"/>
      <c r="P39" s="272"/>
      <c r="Q39" s="272"/>
      <c r="R39" s="273"/>
    </row>
    <row r="40" spans="1:18">
      <c r="A40" s="266">
        <v>34</v>
      </c>
      <c r="B40" s="267"/>
      <c r="C40" s="268"/>
      <c r="D40" s="270" t="str">
        <f t="shared" si="0"/>
        <v/>
      </c>
      <c r="E40" s="267">
        <v>9</v>
      </c>
      <c r="F40" s="268">
        <v>560</v>
      </c>
      <c r="G40" s="283">
        <f t="shared" si="1"/>
        <v>1.607142857142857E-2</v>
      </c>
      <c r="H40" s="271" t="str">
        <f>IFERROR(IF(C40="","",SUM(B$6:B39)+B40),"")</f>
        <v/>
      </c>
      <c r="I40" s="269" t="str">
        <f>IFERROR(IF(D40="","",SUM(C$6:C39)+C40),"")</f>
        <v/>
      </c>
      <c r="J40" s="270" t="str">
        <f t="shared" si="2"/>
        <v/>
      </c>
      <c r="K40" s="271">
        <f>IFERROR(IF(F40="","",SUM(E$6:E39)+E40),"")</f>
        <v>571</v>
      </c>
      <c r="L40" s="269">
        <f>IFERROR(IF(G40="","",SUM(F$6:F39)+F40),"")</f>
        <v>18817</v>
      </c>
      <c r="M40" s="270">
        <f t="shared" si="3"/>
        <v>3.0344900887495349E-2</v>
      </c>
      <c r="N40" s="272"/>
      <c r="O40" s="272"/>
      <c r="P40" s="272"/>
      <c r="Q40" s="272"/>
      <c r="R40" s="273"/>
    </row>
    <row r="41" spans="1:18">
      <c r="A41" s="266">
        <v>35</v>
      </c>
      <c r="B41" s="267"/>
      <c r="C41" s="268"/>
      <c r="D41" s="270" t="str">
        <f t="shared" si="0"/>
        <v/>
      </c>
      <c r="E41" s="267">
        <v>0</v>
      </c>
      <c r="F41" s="268">
        <v>537</v>
      </c>
      <c r="G41" s="283">
        <f t="shared" si="1"/>
        <v>0</v>
      </c>
      <c r="H41" s="271" t="str">
        <f>IFERROR(IF(C41="","",SUM(B$6:B40)+B41),"")</f>
        <v/>
      </c>
      <c r="I41" s="269" t="str">
        <f>IFERROR(IF(D41="","",SUM(C$6:C40)+C41),"")</f>
        <v/>
      </c>
      <c r="J41" s="270" t="str">
        <f t="shared" si="2"/>
        <v/>
      </c>
      <c r="K41" s="271">
        <f>IFERROR(IF(F41="","",SUM(E$6:E40)+E41),"")</f>
        <v>571</v>
      </c>
      <c r="L41" s="269">
        <f>IFERROR(IF(G41="","",SUM(F$6:F40)+F41),"")</f>
        <v>19354</v>
      </c>
      <c r="M41" s="270">
        <f t="shared" si="3"/>
        <v>2.9502945127622197E-2</v>
      </c>
      <c r="N41" s="272"/>
      <c r="O41" s="272"/>
      <c r="P41" s="272"/>
      <c r="Q41" s="272"/>
      <c r="R41" s="273"/>
    </row>
    <row r="42" spans="1:18">
      <c r="A42" s="266">
        <v>36</v>
      </c>
      <c r="B42" s="267"/>
      <c r="C42" s="268"/>
      <c r="D42" s="270" t="str">
        <f t="shared" si="0"/>
        <v/>
      </c>
      <c r="E42" s="267">
        <v>23</v>
      </c>
      <c r="F42" s="268">
        <v>547</v>
      </c>
      <c r="G42" s="283">
        <f t="shared" si="1"/>
        <v>4.2047531992687383E-2</v>
      </c>
      <c r="H42" s="271" t="str">
        <f>IFERROR(IF(C42="","",SUM(B$6:B41)+B42),"")</f>
        <v/>
      </c>
      <c r="I42" s="269" t="str">
        <f>IFERROR(IF(D42="","",SUM(C$6:C41)+C42),"")</f>
        <v/>
      </c>
      <c r="J42" s="270" t="str">
        <f t="shared" si="2"/>
        <v/>
      </c>
      <c r="K42" s="271">
        <f>IFERROR(IF(F42="","",SUM(E$6:E41)+E42),"")</f>
        <v>594</v>
      </c>
      <c r="L42" s="269">
        <f>IFERROR(IF(G42="","",SUM(F$6:F41)+F42),"")</f>
        <v>19901</v>
      </c>
      <c r="M42" s="270">
        <f t="shared" si="3"/>
        <v>2.9847746344404805E-2</v>
      </c>
      <c r="N42" s="272"/>
      <c r="O42" s="272"/>
      <c r="P42" s="272"/>
      <c r="Q42" s="272"/>
      <c r="R42" s="273"/>
    </row>
    <row r="43" spans="1:18">
      <c r="A43" s="266">
        <v>37</v>
      </c>
      <c r="B43" s="267"/>
      <c r="C43" s="268"/>
      <c r="D43" s="270" t="str">
        <f t="shared" si="0"/>
        <v/>
      </c>
      <c r="E43" s="267">
        <v>52</v>
      </c>
      <c r="F43" s="268">
        <v>564</v>
      </c>
      <c r="G43" s="283">
        <f t="shared" si="1"/>
        <v>9.2198581560283682E-2</v>
      </c>
      <c r="H43" s="271" t="str">
        <f>IFERROR(IF(C43="","",SUM(B$6:B42)+B43),"")</f>
        <v/>
      </c>
      <c r="I43" s="269" t="str">
        <f>IFERROR(IF(D43="","",SUM(C$6:C42)+C43),"")</f>
        <v/>
      </c>
      <c r="J43" s="270" t="str">
        <f t="shared" si="2"/>
        <v/>
      </c>
      <c r="K43" s="271">
        <f>IFERROR(IF(F43="","",SUM(E$6:E42)+E43),"")</f>
        <v>646</v>
      </c>
      <c r="L43" s="269">
        <f>IFERROR(IF(G43="","",SUM(F$6:F42)+F43),"")</f>
        <v>20465</v>
      </c>
      <c r="M43" s="270">
        <f t="shared" si="3"/>
        <v>3.1566088443684338E-2</v>
      </c>
      <c r="N43" s="272"/>
      <c r="O43" s="272"/>
      <c r="P43" s="272"/>
      <c r="Q43" s="272"/>
      <c r="R43" s="273"/>
    </row>
    <row r="44" spans="1:18">
      <c r="A44" s="266">
        <v>38</v>
      </c>
      <c r="B44" s="267"/>
      <c r="C44" s="268"/>
      <c r="D44" s="270" t="str">
        <f t="shared" si="0"/>
        <v/>
      </c>
      <c r="E44" s="267">
        <v>41</v>
      </c>
      <c r="F44" s="268">
        <v>564</v>
      </c>
      <c r="G44" s="283">
        <f t="shared" si="1"/>
        <v>7.2695035460992902E-2</v>
      </c>
      <c r="H44" s="271" t="str">
        <f>IFERROR(IF(C44="","",SUM(B$6:B43)+B44),"")</f>
        <v/>
      </c>
      <c r="I44" s="269" t="str">
        <f>IFERROR(IF(D44="","",SUM(C$6:C43)+C44),"")</f>
        <v/>
      </c>
      <c r="J44" s="270" t="str">
        <f t="shared" si="2"/>
        <v/>
      </c>
      <c r="K44" s="271">
        <f>IFERROR(IF(F44="","",SUM(E$6:E43)+E44),"")</f>
        <v>687</v>
      </c>
      <c r="L44" s="269">
        <f>IFERROR(IF(G44="","",SUM(F$6:F43)+F44),"")</f>
        <v>21029</v>
      </c>
      <c r="M44" s="270">
        <f t="shared" si="3"/>
        <v>3.2669171144609828E-2</v>
      </c>
      <c r="N44" s="272"/>
      <c r="O44" s="272"/>
      <c r="P44" s="272"/>
      <c r="Q44" s="272"/>
      <c r="R44" s="273"/>
    </row>
    <row r="45" spans="1:18">
      <c r="A45" s="266">
        <v>39</v>
      </c>
      <c r="B45" s="267"/>
      <c r="C45" s="268"/>
      <c r="D45" s="270" t="str">
        <f t="shared" si="0"/>
        <v/>
      </c>
      <c r="E45" s="267">
        <v>11</v>
      </c>
      <c r="F45" s="268">
        <v>551</v>
      </c>
      <c r="G45" s="283">
        <f t="shared" si="1"/>
        <v>1.9963702359346643E-2</v>
      </c>
      <c r="H45" s="271" t="str">
        <f>IFERROR(IF(C45="","",SUM(B$6:B44)+B45),"")</f>
        <v/>
      </c>
      <c r="I45" s="269" t="str">
        <f>IFERROR(IF(D45="","",SUM(C$6:C44)+C45),"")</f>
        <v/>
      </c>
      <c r="J45" s="270" t="str">
        <f t="shared" si="2"/>
        <v/>
      </c>
      <c r="K45" s="271">
        <f>IFERROR(IF(F45="","",SUM(E$6:E44)+E45),"")</f>
        <v>698</v>
      </c>
      <c r="L45" s="269">
        <f>IFERROR(IF(G45="","",SUM(F$6:F44)+F45),"")</f>
        <v>21580</v>
      </c>
      <c r="M45" s="270">
        <f t="shared" si="3"/>
        <v>3.2344763670064877E-2</v>
      </c>
      <c r="N45" s="272"/>
      <c r="O45" s="272"/>
      <c r="P45" s="272"/>
      <c r="Q45" s="272"/>
      <c r="R45" s="273"/>
    </row>
    <row r="46" spans="1:18">
      <c r="A46" s="266">
        <v>40</v>
      </c>
      <c r="B46" s="267"/>
      <c r="C46" s="268"/>
      <c r="D46" s="270" t="str">
        <f t="shared" si="0"/>
        <v/>
      </c>
      <c r="E46" s="267">
        <v>0</v>
      </c>
      <c r="F46" s="268">
        <v>515</v>
      </c>
      <c r="G46" s="283">
        <f t="shared" si="1"/>
        <v>0</v>
      </c>
      <c r="H46" s="271" t="str">
        <f>IFERROR(IF(C46="","",SUM(B$6:B45)+B46),"")</f>
        <v/>
      </c>
      <c r="I46" s="269" t="str">
        <f>IFERROR(IF(D46="","",SUM(C$6:C45)+C46),"")</f>
        <v/>
      </c>
      <c r="J46" s="270" t="str">
        <f t="shared" si="2"/>
        <v/>
      </c>
      <c r="K46" s="271">
        <f>IFERROR(IF(F46="","",SUM(E$6:E45)+E46),"")</f>
        <v>698</v>
      </c>
      <c r="L46" s="269">
        <f>IFERROR(IF(G46="","",SUM(F$6:F45)+F46),"")</f>
        <v>22095</v>
      </c>
      <c r="M46" s="270">
        <f t="shared" si="3"/>
        <v>3.1590857660104096E-2</v>
      </c>
      <c r="N46" s="272"/>
      <c r="O46" s="272"/>
      <c r="P46" s="272"/>
      <c r="Q46" s="272"/>
      <c r="R46" s="273"/>
    </row>
    <row r="47" spans="1:18">
      <c r="A47" s="266">
        <v>41</v>
      </c>
      <c r="B47" s="267"/>
      <c r="C47" s="268"/>
      <c r="D47" s="270" t="str">
        <f t="shared" si="0"/>
        <v/>
      </c>
      <c r="E47" s="267">
        <v>0</v>
      </c>
      <c r="F47" s="268">
        <v>541</v>
      </c>
      <c r="G47" s="283">
        <f t="shared" si="1"/>
        <v>0</v>
      </c>
      <c r="H47" s="271" t="str">
        <f>IFERROR(IF(C47="","",SUM(B$6:B46)+B47),"")</f>
        <v/>
      </c>
      <c r="I47" s="269" t="str">
        <f>IFERROR(IF(D47="","",SUM(C$6:C46)+C47),"")</f>
        <v/>
      </c>
      <c r="J47" s="270" t="str">
        <f t="shared" si="2"/>
        <v/>
      </c>
      <c r="K47" s="271">
        <f>IFERROR(IF(F47="","",SUM(E$6:E46)+E47),"")</f>
        <v>698</v>
      </c>
      <c r="L47" s="269">
        <f>IFERROR(IF(G47="","",SUM(F$6:F46)+F47),"")</f>
        <v>22636</v>
      </c>
      <c r="M47" s="270">
        <f t="shared" si="3"/>
        <v>3.08358367202686E-2</v>
      </c>
      <c r="N47" s="272"/>
      <c r="O47" s="272"/>
      <c r="P47" s="272"/>
      <c r="Q47" s="272"/>
      <c r="R47" s="273"/>
    </row>
    <row r="48" spans="1:18">
      <c r="A48" s="266">
        <v>42</v>
      </c>
      <c r="B48" s="267"/>
      <c r="C48" s="268"/>
      <c r="D48" s="270" t="str">
        <f t="shared" si="0"/>
        <v/>
      </c>
      <c r="E48" s="267">
        <v>23</v>
      </c>
      <c r="F48" s="268">
        <v>557</v>
      </c>
      <c r="G48" s="283">
        <f t="shared" si="1"/>
        <v>4.1292639138240578E-2</v>
      </c>
      <c r="H48" s="271" t="str">
        <f>IFERROR(IF(C48="","",SUM(B$6:B47)+B48),"")</f>
        <v/>
      </c>
      <c r="I48" s="269" t="str">
        <f>IFERROR(IF(D48="","",SUM(C$6:C47)+C48),"")</f>
        <v/>
      </c>
      <c r="J48" s="270" t="str">
        <f t="shared" si="2"/>
        <v/>
      </c>
      <c r="K48" s="271">
        <f>IFERROR(IF(F48="","",SUM(E$6:E47)+E48),"")</f>
        <v>721</v>
      </c>
      <c r="L48" s="269">
        <f>IFERROR(IF(G48="","",SUM(F$6:F47)+F48),"")</f>
        <v>23193</v>
      </c>
      <c r="M48" s="270">
        <f t="shared" si="3"/>
        <v>3.1086965894882076E-2</v>
      </c>
      <c r="N48" s="272"/>
      <c r="O48" s="272"/>
      <c r="P48" s="272"/>
      <c r="Q48" s="272"/>
      <c r="R48" s="273"/>
    </row>
    <row r="49" spans="1:18">
      <c r="A49" s="266">
        <v>43</v>
      </c>
      <c r="B49" s="267"/>
      <c r="C49" s="268"/>
      <c r="D49" s="270" t="str">
        <f t="shared" si="0"/>
        <v/>
      </c>
      <c r="E49" s="267">
        <v>0</v>
      </c>
      <c r="F49" s="268">
        <v>521</v>
      </c>
      <c r="G49" s="283">
        <f t="shared" si="1"/>
        <v>0</v>
      </c>
      <c r="H49" s="271" t="str">
        <f>IFERROR(IF(C49="","",SUM(B$6:B48)+B49),"")</f>
        <v/>
      </c>
      <c r="I49" s="269" t="str">
        <f>IFERROR(IF(D49="","",SUM(C$6:C48)+C49),"")</f>
        <v/>
      </c>
      <c r="J49" s="270" t="str">
        <f t="shared" si="2"/>
        <v/>
      </c>
      <c r="K49" s="271">
        <f>IFERROR(IF(F49="","",SUM(E$6:E48)+E49),"")</f>
        <v>721</v>
      </c>
      <c r="L49" s="269">
        <f>IFERROR(IF(G49="","",SUM(F$6:F48)+F49),"")</f>
        <v>23714</v>
      </c>
      <c r="M49" s="270">
        <f t="shared" si="3"/>
        <v>3.040398077085266E-2</v>
      </c>
      <c r="N49" s="272"/>
      <c r="O49" s="272"/>
      <c r="P49" s="272"/>
      <c r="Q49" s="272"/>
      <c r="R49" s="273"/>
    </row>
    <row r="50" spans="1:18">
      <c r="A50" s="266">
        <v>44</v>
      </c>
      <c r="B50" s="267"/>
      <c r="C50" s="268"/>
      <c r="D50" s="270" t="str">
        <f t="shared" si="0"/>
        <v/>
      </c>
      <c r="E50" s="267">
        <v>0</v>
      </c>
      <c r="F50" s="268">
        <v>529</v>
      </c>
      <c r="G50" s="283">
        <f t="shared" si="1"/>
        <v>0</v>
      </c>
      <c r="H50" s="271" t="str">
        <f>IFERROR(IF(C50="","",SUM(B$6:B49)+B50),"")</f>
        <v/>
      </c>
      <c r="I50" s="269" t="str">
        <f>IFERROR(IF(D50="","",SUM(C$6:C49)+C50),"")</f>
        <v/>
      </c>
      <c r="J50" s="270" t="str">
        <f t="shared" si="2"/>
        <v/>
      </c>
      <c r="K50" s="271">
        <f>IFERROR(IF(F50="","",SUM(E$6:E49)+E50),"")</f>
        <v>721</v>
      </c>
      <c r="L50" s="269">
        <f>IFERROR(IF(G50="","",SUM(F$6:F49)+F50),"")</f>
        <v>24243</v>
      </c>
      <c r="M50" s="270">
        <f t="shared" si="3"/>
        <v>2.9740543662088025E-2</v>
      </c>
      <c r="N50" s="272"/>
      <c r="O50" s="272"/>
      <c r="P50" s="272"/>
      <c r="Q50" s="272"/>
      <c r="R50" s="273"/>
    </row>
    <row r="51" spans="1:18">
      <c r="A51" s="266">
        <v>45</v>
      </c>
      <c r="B51" s="267"/>
      <c r="C51" s="268"/>
      <c r="D51" s="270" t="str">
        <f t="shared" si="0"/>
        <v/>
      </c>
      <c r="E51" s="267">
        <v>0</v>
      </c>
      <c r="F51" s="268">
        <v>0</v>
      </c>
      <c r="G51" s="283" t="str">
        <f t="shared" si="1"/>
        <v/>
      </c>
      <c r="H51" s="271" t="str">
        <f>IFERROR(IF(C51="","",SUM(B$6:B50)+B51),"")</f>
        <v/>
      </c>
      <c r="I51" s="269" t="str">
        <f>IFERROR(IF(D51="","",SUM(C$6:C50)+C51),"")</f>
        <v/>
      </c>
      <c r="J51" s="270" t="str">
        <f t="shared" si="2"/>
        <v/>
      </c>
      <c r="K51" s="271">
        <f>IFERROR(IF(F51="","",SUM(E$6:E50)+E51),"")</f>
        <v>721</v>
      </c>
      <c r="L51" s="269" t="str">
        <f>IFERROR(IF(G51="","",SUM(F$6:F50)+F51),"")</f>
        <v/>
      </c>
      <c r="M51" s="270" t="str">
        <f t="shared" si="3"/>
        <v/>
      </c>
      <c r="N51" s="272"/>
      <c r="O51" s="272"/>
      <c r="P51" s="272"/>
      <c r="Q51" s="272"/>
      <c r="R51" s="273"/>
    </row>
    <row r="52" spans="1:18">
      <c r="A52" s="266">
        <v>46</v>
      </c>
      <c r="B52" s="267"/>
      <c r="C52" s="268"/>
      <c r="D52" s="270" t="str">
        <f t="shared" si="0"/>
        <v/>
      </c>
      <c r="E52" s="267">
        <v>0</v>
      </c>
      <c r="F52" s="268">
        <v>0</v>
      </c>
      <c r="G52" s="283" t="str">
        <f t="shared" si="1"/>
        <v/>
      </c>
      <c r="H52" s="271" t="str">
        <f>IFERROR(IF(C52="","",SUM(B$6:B51)+B52),"")</f>
        <v/>
      </c>
      <c r="I52" s="269" t="str">
        <f>IFERROR(IF(D52="","",SUM(C$6:C51)+C52),"")</f>
        <v/>
      </c>
      <c r="J52" s="270" t="str">
        <f t="shared" si="2"/>
        <v/>
      </c>
      <c r="K52" s="271">
        <f>IFERROR(IF(F52="","",SUM(E$6:E51)+E52),"")</f>
        <v>721</v>
      </c>
      <c r="L52" s="269" t="str">
        <f>IFERROR(IF(G52="","",SUM(F$6:F51)+F52),"")</f>
        <v/>
      </c>
      <c r="M52" s="270" t="str">
        <f t="shared" si="3"/>
        <v/>
      </c>
      <c r="N52" s="272"/>
      <c r="O52" s="272"/>
      <c r="P52" s="272"/>
      <c r="Q52" s="272"/>
      <c r="R52" s="273"/>
    </row>
    <row r="53" spans="1:18">
      <c r="A53" s="266">
        <v>47</v>
      </c>
      <c r="B53" s="267"/>
      <c r="C53" s="268"/>
      <c r="D53" s="270" t="str">
        <f t="shared" si="0"/>
        <v/>
      </c>
      <c r="E53" s="267">
        <v>0</v>
      </c>
      <c r="F53" s="268">
        <v>0</v>
      </c>
      <c r="G53" s="283" t="str">
        <f t="shared" si="1"/>
        <v/>
      </c>
      <c r="H53" s="271" t="str">
        <f>IFERROR(IF(C53="","",SUM(B$6:B52)+B53),"")</f>
        <v/>
      </c>
      <c r="I53" s="269" t="str">
        <f>IFERROR(IF(D53="","",SUM(C$6:C52)+C53),"")</f>
        <v/>
      </c>
      <c r="J53" s="270" t="str">
        <f t="shared" si="2"/>
        <v/>
      </c>
      <c r="K53" s="271">
        <f>IFERROR(IF(F53="","",SUM(E$6:E52)+E53),"")</f>
        <v>721</v>
      </c>
      <c r="L53" s="269" t="str">
        <f>IFERROR(IF(G53="","",SUM(F$6:F52)+F53),"")</f>
        <v/>
      </c>
      <c r="M53" s="270" t="str">
        <f t="shared" si="3"/>
        <v/>
      </c>
      <c r="N53" s="272"/>
      <c r="O53" s="272"/>
      <c r="P53" s="272"/>
      <c r="Q53" s="272"/>
      <c r="R53" s="273"/>
    </row>
    <row r="54" spans="1:18">
      <c r="A54" s="266">
        <v>48</v>
      </c>
      <c r="B54" s="267"/>
      <c r="C54" s="268"/>
      <c r="D54" s="270" t="str">
        <f t="shared" si="0"/>
        <v/>
      </c>
      <c r="E54" s="267">
        <v>0</v>
      </c>
      <c r="F54" s="268">
        <v>0</v>
      </c>
      <c r="G54" s="283" t="str">
        <f t="shared" si="1"/>
        <v/>
      </c>
      <c r="H54" s="271" t="str">
        <f>IFERROR(IF(C54="","",SUM(B$6:B53)+B54),"")</f>
        <v/>
      </c>
      <c r="I54" s="269" t="str">
        <f>IFERROR(IF(D54="","",SUM(C$6:C53)+C54),"")</f>
        <v/>
      </c>
      <c r="J54" s="270" t="str">
        <f t="shared" si="2"/>
        <v/>
      </c>
      <c r="K54" s="271">
        <f>IFERROR(IF(F54="","",SUM(E$6:E53)+E54),"")</f>
        <v>721</v>
      </c>
      <c r="L54" s="269" t="str">
        <f>IFERROR(IF(G54="","",SUM(F$6:F53)+F54),"")</f>
        <v/>
      </c>
      <c r="M54" s="270" t="str">
        <f t="shared" si="3"/>
        <v/>
      </c>
      <c r="N54" s="272"/>
      <c r="O54" s="272"/>
      <c r="P54" s="272"/>
      <c r="Q54" s="272"/>
      <c r="R54" s="273"/>
    </row>
    <row r="55" spans="1:18">
      <c r="A55" s="266">
        <v>49</v>
      </c>
      <c r="B55" s="267"/>
      <c r="C55" s="268"/>
      <c r="D55" s="270" t="str">
        <f t="shared" si="0"/>
        <v/>
      </c>
      <c r="E55" s="267">
        <v>0</v>
      </c>
      <c r="F55" s="268">
        <v>0</v>
      </c>
      <c r="G55" s="283" t="str">
        <f t="shared" si="1"/>
        <v/>
      </c>
      <c r="H55" s="271" t="str">
        <f>IFERROR(IF(C55="","",SUM(B$6:B54)+B55),"")</f>
        <v/>
      </c>
      <c r="I55" s="269" t="str">
        <f>IFERROR(IF(D55="","",SUM(C$6:C54)+C55),"")</f>
        <v/>
      </c>
      <c r="J55" s="270" t="str">
        <f t="shared" si="2"/>
        <v/>
      </c>
      <c r="K55" s="271">
        <f>IFERROR(IF(F55="","",SUM(E$6:E54)+E55),"")</f>
        <v>721</v>
      </c>
      <c r="L55" s="269" t="str">
        <f>IFERROR(IF(G55="","",SUM(F$6:F54)+F55),"")</f>
        <v/>
      </c>
      <c r="M55" s="270" t="str">
        <f t="shared" si="3"/>
        <v/>
      </c>
      <c r="N55" s="272"/>
      <c r="O55" s="272"/>
      <c r="P55" s="272"/>
      <c r="Q55" s="272"/>
      <c r="R55" s="273"/>
    </row>
    <row r="56" spans="1:18">
      <c r="A56" s="266">
        <v>50</v>
      </c>
      <c r="B56" s="267"/>
      <c r="C56" s="268"/>
      <c r="D56" s="270" t="str">
        <f t="shared" si="0"/>
        <v/>
      </c>
      <c r="E56" s="267">
        <v>0</v>
      </c>
      <c r="F56" s="268">
        <v>0</v>
      </c>
      <c r="G56" s="283" t="str">
        <f t="shared" si="1"/>
        <v/>
      </c>
      <c r="H56" s="271" t="str">
        <f>IFERROR(IF(C56="","",SUM(B$6:B55)+B56),"")</f>
        <v/>
      </c>
      <c r="I56" s="269" t="str">
        <f>IFERROR(IF(D56="","",SUM(C$6:C55)+C56),"")</f>
        <v/>
      </c>
      <c r="J56" s="270" t="str">
        <f t="shared" si="2"/>
        <v/>
      </c>
      <c r="K56" s="271">
        <f>IFERROR(IF(F56="","",SUM(E$6:E55)+E56),"")</f>
        <v>721</v>
      </c>
      <c r="L56" s="269" t="str">
        <f>IFERROR(IF(G56="","",SUM(F$6:F55)+F56),"")</f>
        <v/>
      </c>
      <c r="M56" s="270" t="str">
        <f t="shared" si="3"/>
        <v/>
      </c>
      <c r="N56" s="272"/>
      <c r="O56" s="272"/>
      <c r="P56" s="272"/>
      <c r="Q56" s="272"/>
      <c r="R56" s="273"/>
    </row>
    <row r="57" spans="1:18">
      <c r="A57" s="266">
        <v>51</v>
      </c>
      <c r="B57" s="267"/>
      <c r="C57" s="268"/>
      <c r="D57" s="270" t="str">
        <f t="shared" si="0"/>
        <v/>
      </c>
      <c r="E57" s="267">
        <v>0</v>
      </c>
      <c r="F57" s="268">
        <v>0</v>
      </c>
      <c r="G57" s="283" t="str">
        <f t="shared" si="1"/>
        <v/>
      </c>
      <c r="H57" s="271" t="str">
        <f>IFERROR(IF(C57="","",SUM(B$6:B56)+B57),"")</f>
        <v/>
      </c>
      <c r="I57" s="269" t="str">
        <f>IFERROR(IF(D57="","",SUM(C$6:C56)+C57),"")</f>
        <v/>
      </c>
      <c r="J57" s="270" t="str">
        <f t="shared" si="2"/>
        <v/>
      </c>
      <c r="K57" s="271">
        <f>IFERROR(IF(F57="","",SUM(E$6:E56)+E57),"")</f>
        <v>721</v>
      </c>
      <c r="L57" s="269" t="str">
        <f>IFERROR(IF(G57="","",SUM(F$6:F56)+F57),"")</f>
        <v/>
      </c>
      <c r="M57" s="270" t="str">
        <f t="shared" si="3"/>
        <v/>
      </c>
      <c r="N57" s="272"/>
      <c r="O57" s="272"/>
      <c r="P57" s="272"/>
      <c r="Q57" s="272"/>
      <c r="R57" s="273"/>
    </row>
    <row r="58" spans="1:18">
      <c r="A58" s="266">
        <v>52</v>
      </c>
      <c r="B58" s="267"/>
      <c r="C58" s="268"/>
      <c r="D58" s="270" t="str">
        <f t="shared" si="0"/>
        <v/>
      </c>
      <c r="E58" s="267">
        <v>0</v>
      </c>
      <c r="F58" s="268">
        <v>0</v>
      </c>
      <c r="G58" s="283" t="str">
        <f t="shared" si="1"/>
        <v/>
      </c>
      <c r="H58" s="271" t="str">
        <f>IFERROR(IF(C58="","",SUM(B$6:B57)+B58),"")</f>
        <v/>
      </c>
      <c r="I58" s="269" t="str">
        <f>IFERROR(IF(D58="","",SUM(C$6:C57)+C58),"")</f>
        <v/>
      </c>
      <c r="J58" s="270" t="str">
        <f t="shared" si="2"/>
        <v/>
      </c>
      <c r="K58" s="271">
        <f>IFERROR(IF(F58="","",SUM(E$6:E57)+E58),"")</f>
        <v>721</v>
      </c>
      <c r="L58" s="269" t="str">
        <f>IFERROR(IF(G58="","",SUM(F$6:F57)+F58),"")</f>
        <v/>
      </c>
      <c r="M58" s="270" t="str">
        <f t="shared" si="3"/>
        <v/>
      </c>
      <c r="N58" s="272"/>
      <c r="O58" s="272"/>
      <c r="P58" s="272"/>
      <c r="Q58" s="272"/>
      <c r="R58" s="273"/>
    </row>
    <row r="59" spans="1:18" ht="12" thickBot="1">
      <c r="A59" s="274">
        <v>53</v>
      </c>
      <c r="B59" s="275"/>
      <c r="C59" s="276"/>
      <c r="D59" s="270" t="str">
        <f t="shared" si="0"/>
        <v/>
      </c>
      <c r="E59" s="275">
        <v>0</v>
      </c>
      <c r="F59" s="276">
        <v>0</v>
      </c>
      <c r="G59" s="283" t="str">
        <f t="shared" si="1"/>
        <v/>
      </c>
      <c r="H59" s="278" t="str">
        <f>IFERROR(IF(C59="","",SUM(B$6:B58)+B59),"")</f>
        <v/>
      </c>
      <c r="I59" s="277" t="str">
        <f>IFERROR(IF(D59="","",SUM(C$6:C58)+C59),"")</f>
        <v/>
      </c>
      <c r="J59" s="288" t="str">
        <f t="shared" si="2"/>
        <v/>
      </c>
      <c r="K59" s="278">
        <f>IFERROR(IF(F59="","",SUM(E$6:E58)+E59),"")</f>
        <v>721</v>
      </c>
      <c r="L59" s="277" t="str">
        <f>IFERROR(IF(G59="","",SUM(F$6:F58)+F59),"")</f>
        <v/>
      </c>
      <c r="M59" s="288" t="str">
        <f t="shared" si="3"/>
        <v/>
      </c>
      <c r="N59" s="279"/>
      <c r="O59" s="279"/>
      <c r="P59" s="279"/>
      <c r="Q59" s="279"/>
      <c r="R59" s="280"/>
    </row>
    <row r="61" spans="1:18" ht="12">
      <c r="C61" s="830"/>
      <c r="D61" s="830"/>
      <c r="E61" s="830"/>
      <c r="F61" s="830"/>
    </row>
  </sheetData>
  <sheetProtection sheet="1" objects="1" scenarios="1"/>
  <mergeCells count="9">
    <mergeCell ref="C61:F61"/>
    <mergeCell ref="A2:R3"/>
    <mergeCell ref="A1:B1"/>
    <mergeCell ref="N4:R4"/>
    <mergeCell ref="N5:R5"/>
    <mergeCell ref="B4:D4"/>
    <mergeCell ref="E4:G4"/>
    <mergeCell ref="H4:J4"/>
    <mergeCell ref="K4:M4"/>
  </mergeCells>
  <pageMargins left="0.15748031496062992" right="0.15748031496062992" top="0.17" bottom="0.16" header="0.17" footer="0.16"/>
  <pageSetup paperSize="9" scale="74" orientation="landscape" r:id="rId1"/>
  <headerFooter>
    <oddFooter>&amp;L&amp;1#&amp;"Calibri"&amp;8 Classification: Open</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2" tint="-0.499984740745262"/>
    <pageSetUpPr fitToPage="1"/>
  </sheetPr>
  <dimension ref="A1:AB29"/>
  <sheetViews>
    <sheetView topLeftCell="C1" zoomScaleNormal="100" workbookViewId="0">
      <pane ySplit="27" topLeftCell="A28" activePane="bottomLeft" state="frozenSplit"/>
      <selection activeCell="C1" sqref="C1"/>
      <selection pane="bottomLeft" activeCell="L18" sqref="L18"/>
    </sheetView>
  </sheetViews>
  <sheetFormatPr baseColWidth="10" defaultColWidth="8.140625" defaultRowHeight="15"/>
  <cols>
    <col min="1" max="1" width="8.140625" hidden="1" customWidth="1"/>
    <col min="2" max="2" width="5.140625" hidden="1" customWidth="1"/>
    <col min="3" max="3" width="6.85546875" style="3" customWidth="1"/>
    <col min="4" max="4" width="20.140625" bestFit="1" customWidth="1"/>
    <col min="5" max="5" width="5.7109375" customWidth="1"/>
    <col min="6" max="6" width="6.28515625" style="6" customWidth="1"/>
    <col min="7" max="7" width="4.28515625" style="148" customWidth="1"/>
    <col min="8" max="9" width="4.28515625" style="149" customWidth="1"/>
    <col min="10" max="10" width="11.7109375" style="1" bestFit="1" customWidth="1"/>
    <col min="11" max="11" width="11.5703125" style="1" hidden="1" customWidth="1"/>
    <col min="12" max="12" width="13.28515625" style="2" bestFit="1" customWidth="1"/>
    <col min="13" max="13" width="8.140625" style="10" customWidth="1"/>
    <col min="14" max="14" width="9.7109375" style="2" hidden="1" customWidth="1"/>
    <col min="15" max="15" width="8.7109375" style="10" customWidth="1"/>
    <col min="16" max="16" width="12.5703125" style="2" hidden="1" customWidth="1"/>
    <col min="17" max="17" width="7.7109375" bestFit="1" customWidth="1"/>
    <col min="18" max="18" width="9.7109375" bestFit="1" customWidth="1"/>
    <col min="19" max="19" width="4.42578125" hidden="1" customWidth="1"/>
    <col min="20" max="20" width="8.5703125" style="10" bestFit="1" customWidth="1"/>
    <col min="21" max="21" width="8.85546875" style="2" hidden="1" customWidth="1"/>
    <col min="22" max="22" width="7.28515625" style="10" bestFit="1" customWidth="1"/>
    <col min="23" max="23" width="7.28515625" style="10" hidden="1" customWidth="1"/>
    <col min="24" max="24" width="9.7109375" bestFit="1" customWidth="1"/>
    <col min="25" max="25" width="8.5703125" style="10" bestFit="1" customWidth="1"/>
    <col min="26" max="26" width="9" style="2" hidden="1" customWidth="1"/>
    <col min="27" max="27" width="6.7109375" style="10" bestFit="1" customWidth="1"/>
    <col min="28" max="28" width="73.42578125" customWidth="1"/>
  </cols>
  <sheetData>
    <row r="1" spans="1:28" ht="31.5">
      <c r="A1" s="80"/>
      <c r="B1" s="77"/>
      <c r="C1" s="79" t="str">
        <f>sysX!A2</f>
        <v>4301</v>
      </c>
      <c r="D1" s="79" t="str">
        <f>sysX!A4</f>
        <v>BERJASEN</v>
      </c>
      <c r="E1" s="81" t="str">
        <f>sysX!A6</f>
        <v>2019</v>
      </c>
      <c r="F1" s="77"/>
      <c r="G1" s="903" t="s">
        <v>39</v>
      </c>
      <c r="H1" s="903"/>
      <c r="I1" s="903"/>
      <c r="J1" s="903"/>
      <c r="K1" s="903"/>
      <c r="L1" s="903"/>
      <c r="M1" s="903"/>
      <c r="N1" s="903"/>
      <c r="O1" s="903"/>
      <c r="P1" s="903"/>
      <c r="Q1" s="903"/>
      <c r="R1" s="903"/>
      <c r="S1" s="903"/>
      <c r="T1" s="903"/>
      <c r="U1" s="903"/>
      <c r="V1" s="903"/>
      <c r="W1" s="903"/>
      <c r="X1" s="903"/>
      <c r="Y1" s="903"/>
      <c r="Z1" s="903"/>
      <c r="AA1" s="903"/>
      <c r="AB1" s="77"/>
    </row>
    <row r="2" spans="1:28" ht="15.75" customHeight="1" thickBot="1">
      <c r="C2" s="87" t="s">
        <v>0</v>
      </c>
      <c r="D2" s="88">
        <v>49</v>
      </c>
      <c r="E2" s="77"/>
      <c r="F2" s="82"/>
      <c r="G2" s="377">
        <f>sysX!A16</f>
        <v>-0.01</v>
      </c>
      <c r="H2" s="377">
        <f>sysX!A18</f>
        <v>-2E-3</v>
      </c>
      <c r="I2" s="377">
        <f>sysX!A20</f>
        <v>-2E-3</v>
      </c>
      <c r="J2" s="216"/>
      <c r="K2" s="216"/>
      <c r="L2" s="216"/>
      <c r="M2" s="216"/>
      <c r="N2" s="216"/>
      <c r="O2" s="216"/>
      <c r="P2" s="216"/>
      <c r="Q2" s="216"/>
      <c r="R2" s="216"/>
      <c r="S2" s="216"/>
      <c r="T2" s="216"/>
      <c r="U2" s="216"/>
      <c r="V2" s="216"/>
      <c r="W2" s="216"/>
      <c r="X2" s="216"/>
      <c r="Y2" s="216"/>
      <c r="Z2" s="216"/>
      <c r="AA2" s="216"/>
      <c r="AB2" s="77"/>
    </row>
    <row r="3" spans="1:28" ht="15.75" hidden="1" thickBot="1">
      <c r="B3" s="77"/>
      <c r="C3" s="83"/>
      <c r="D3" s="77"/>
      <c r="E3" s="77"/>
      <c r="F3" s="82"/>
      <c r="G3" s="146"/>
      <c r="H3" s="147"/>
      <c r="I3" s="147"/>
      <c r="J3" s="84"/>
      <c r="K3" s="84"/>
      <c r="L3" s="85"/>
      <c r="M3" s="86">
        <v>8</v>
      </c>
      <c r="N3" s="85"/>
      <c r="O3" s="86">
        <v>6</v>
      </c>
      <c r="P3" s="85"/>
      <c r="Q3" s="87">
        <v>7</v>
      </c>
      <c r="R3" s="87"/>
      <c r="S3" s="87"/>
      <c r="T3" s="86">
        <v>4</v>
      </c>
      <c r="U3" s="85"/>
      <c r="V3" s="86"/>
      <c r="W3" s="86"/>
      <c r="X3" s="87"/>
      <c r="Y3" s="86">
        <v>5</v>
      </c>
      <c r="Z3" s="85"/>
      <c r="AA3" s="86"/>
      <c r="AB3" s="87">
        <v>9</v>
      </c>
    </row>
    <row r="4" spans="1:28" s="119" customFormat="1" ht="15.75" thickBot="1">
      <c r="C4" s="150"/>
      <c r="D4" s="151"/>
      <c r="E4" s="904" t="s">
        <v>11</v>
      </c>
      <c r="F4" s="905"/>
      <c r="G4" s="909" t="s">
        <v>14</v>
      </c>
      <c r="H4" s="909"/>
      <c r="I4" s="905"/>
      <c r="J4" s="906" t="s">
        <v>13</v>
      </c>
      <c r="K4" s="907"/>
      <c r="L4" s="907"/>
      <c r="M4" s="908"/>
      <c r="N4" s="152"/>
      <c r="O4" s="904" t="s">
        <v>5</v>
      </c>
      <c r="P4" s="909"/>
      <c r="Q4" s="909"/>
      <c r="R4" s="909"/>
      <c r="S4" s="151"/>
      <c r="T4" s="904" t="s">
        <v>6</v>
      </c>
      <c r="U4" s="909"/>
      <c r="V4" s="905"/>
      <c r="W4" s="229"/>
      <c r="X4" s="151"/>
      <c r="Y4" s="904" t="s">
        <v>7</v>
      </c>
      <c r="Z4" s="909"/>
      <c r="AA4" s="905"/>
      <c r="AB4" s="910" t="s">
        <v>10</v>
      </c>
    </row>
    <row r="5" spans="1:28" s="205" customFormat="1" ht="26.25" customHeight="1" thickBot="1">
      <c r="A5" s="191"/>
      <c r="B5" s="191"/>
      <c r="C5" s="192" t="s">
        <v>40</v>
      </c>
      <c r="D5" s="193" t="s">
        <v>41</v>
      </c>
      <c r="E5" s="194" t="s">
        <v>12</v>
      </c>
      <c r="F5" s="209" t="s">
        <v>45</v>
      </c>
      <c r="G5" s="206" t="s">
        <v>8</v>
      </c>
      <c r="H5" s="207" t="s">
        <v>5</v>
      </c>
      <c r="I5" s="208" t="s">
        <v>6</v>
      </c>
      <c r="J5" s="196" t="s">
        <v>2</v>
      </c>
      <c r="K5" s="197"/>
      <c r="L5" s="198" t="s">
        <v>1</v>
      </c>
      <c r="M5" s="199" t="s">
        <v>9</v>
      </c>
      <c r="N5" s="200"/>
      <c r="O5" s="201" t="s">
        <v>4</v>
      </c>
      <c r="P5" s="200"/>
      <c r="Q5" s="202" t="s">
        <v>3</v>
      </c>
      <c r="R5" s="203" t="s">
        <v>43</v>
      </c>
      <c r="S5" s="203"/>
      <c r="T5" s="201" t="s">
        <v>4</v>
      </c>
      <c r="U5" s="200"/>
      <c r="V5" s="204" t="s">
        <v>3</v>
      </c>
      <c r="W5" s="232"/>
      <c r="X5" s="203" t="s">
        <v>49</v>
      </c>
      <c r="Y5" s="201" t="s">
        <v>4</v>
      </c>
      <c r="Z5" s="200"/>
      <c r="AA5" s="204" t="s">
        <v>3</v>
      </c>
      <c r="AB5" s="911"/>
    </row>
    <row r="6" spans="1:28" s="104" customFormat="1" ht="19.5" customHeight="1" thickBot="1">
      <c r="A6" s="90"/>
      <c r="B6" s="90"/>
      <c r="C6" s="388" t="s">
        <v>291</v>
      </c>
      <c r="D6" s="89" t="s">
        <v>290</v>
      </c>
      <c r="E6" s="91">
        <f>SUM(E7:E20)</f>
        <v>0</v>
      </c>
      <c r="F6" s="378">
        <f>IFERROR(AVERAGE(F7:F20),0)</f>
        <v>0</v>
      </c>
      <c r="G6" s="92" t="str">
        <f>IFERROR(IF(J6=0,"",((J6-L6)/L6)*100),0)</f>
        <v/>
      </c>
      <c r="H6" s="93">
        <f>IFERROR(IF(O6=0,0,O6-Q6),0)</f>
        <v>0</v>
      </c>
      <c r="I6" s="94">
        <f>IFERROR(T6-V6,0)</f>
        <v>0</v>
      </c>
      <c r="J6" s="96">
        <f>SUM(J7:J27)</f>
        <v>0</v>
      </c>
      <c r="K6" s="96"/>
      <c r="L6" s="97">
        <f>SUM(K7:K27)</f>
        <v>0</v>
      </c>
      <c r="M6" s="98">
        <f>IFERROR(SUM(N7:N27)/J6,0)</f>
        <v>0</v>
      </c>
      <c r="N6" s="99"/>
      <c r="O6" s="100">
        <f>IFERROR(SUM(P7:P27)/J6,0)</f>
        <v>0</v>
      </c>
      <c r="P6" s="99">
        <f>SUM(P7:P20)</f>
        <v>0</v>
      </c>
      <c r="Q6" s="101">
        <f>IFERROR(SUM(S7:S27)/L6,0)</f>
        <v>0</v>
      </c>
      <c r="R6" s="99">
        <f>(Q6*J6)-(O6*J6)</f>
        <v>0</v>
      </c>
      <c r="S6" s="102"/>
      <c r="T6" s="100">
        <f>IFERROR(SUM(U7:U27)/J6,0)</f>
        <v>0</v>
      </c>
      <c r="U6" s="99"/>
      <c r="V6" s="101">
        <f>IFERROR(SUM(W7:W27)/J6,0)</f>
        <v>0</v>
      </c>
      <c r="W6" s="239"/>
      <c r="X6" s="230">
        <f>SUM(X7:X27)</f>
        <v>0</v>
      </c>
      <c r="Y6" s="100">
        <f>IFERROR(SUM(Z7:Z27)/J6,0)</f>
        <v>0</v>
      </c>
      <c r="Z6" s="99"/>
      <c r="AA6" s="101" t="str">
        <f>IFERROR(AVERAGE(AA7:AA27),"")</f>
        <v/>
      </c>
      <c r="AB6" s="103"/>
    </row>
    <row r="7" spans="1:28" s="119" customFormat="1" ht="12.75">
      <c r="A7" s="105"/>
      <c r="B7" s="105"/>
      <c r="C7" s="106" t="s">
        <v>288</v>
      </c>
      <c r="D7" s="107" t="s">
        <v>289</v>
      </c>
      <c r="E7" s="108"/>
      <c r="F7" s="7"/>
      <c r="G7" s="123" t="str">
        <f>IFERROR(IF(J7=0,"",((J7-L7)/L7)),0)</f>
        <v/>
      </c>
      <c r="H7" s="123" t="str">
        <f>IFERROR(IF(O7=0,"",O7-Q7),0)</f>
        <v/>
      </c>
      <c r="I7" s="123" t="str">
        <f>IFERROR(IF(J7=0,"",T7-V7),"")</f>
        <v/>
      </c>
      <c r="J7" s="111"/>
      <c r="K7" s="112">
        <f>IF(J7=0,0,L7)</f>
        <v>0</v>
      </c>
      <c r="L7" s="113"/>
      <c r="M7" s="114"/>
      <c r="N7" s="115"/>
      <c r="O7" s="116"/>
      <c r="P7" s="115"/>
      <c r="Q7" s="117"/>
      <c r="R7" s="298">
        <f>(Q7*J7)-(O7*J7)</f>
        <v>0</v>
      </c>
      <c r="S7" s="115">
        <f>IFERROR(Q7*K7,"")</f>
        <v>0</v>
      </c>
      <c r="T7" s="116"/>
      <c r="U7" s="115"/>
      <c r="V7" s="117"/>
      <c r="W7" s="233" t="str">
        <f t="shared" ref="W7:W27" si="0">IF(J7="","",V7*J7)</f>
        <v/>
      </c>
      <c r="X7" s="298" t="str">
        <f>IFERROR(W7-U7,"")</f>
        <v/>
      </c>
      <c r="Y7" s="116"/>
      <c r="Z7" s="115"/>
      <c r="AA7" s="117"/>
      <c r="AB7" s="118"/>
    </row>
    <row r="8" spans="1:28" s="119" customFormat="1" ht="12.75">
      <c r="A8" s="105"/>
      <c r="B8" s="105"/>
      <c r="C8" s="120"/>
      <c r="D8" s="121"/>
      <c r="E8" s="122"/>
      <c r="F8" s="8"/>
      <c r="G8" s="123" t="str">
        <f t="shared" ref="G8:G27" si="1">IFERROR(IF(J8=0,"",((J8-L8)/L8)),0)</f>
        <v/>
      </c>
      <c r="H8" s="123" t="str">
        <f t="shared" ref="H8:H27" si="2">IFERROR(IF(O8=0,"",O8-Q8),0)</f>
        <v/>
      </c>
      <c r="I8" s="123" t="str">
        <f t="shared" ref="I8:I27" si="3">IFERROR(IF(J8=0,"",T8-V8),"")</f>
        <v/>
      </c>
      <c r="J8" s="125"/>
      <c r="K8" s="126">
        <f t="shared" ref="K8:K27" si="4">IF(J8=0,0,L8)</f>
        <v>0</v>
      </c>
      <c r="L8" s="127"/>
      <c r="M8" s="128"/>
      <c r="N8" s="129"/>
      <c r="O8" s="130"/>
      <c r="P8" s="129"/>
      <c r="Q8" s="131"/>
      <c r="R8" s="299">
        <f t="shared" ref="R8:R27" si="5">(Q8*J8)-(O8*J8)</f>
        <v>0</v>
      </c>
      <c r="S8" s="129">
        <f t="shared" ref="S8:S27" si="6">IFERROR(Q8*K8,"")</f>
        <v>0</v>
      </c>
      <c r="T8" s="130"/>
      <c r="U8" s="129"/>
      <c r="V8" s="131"/>
      <c r="W8" s="233" t="str">
        <f t="shared" si="0"/>
        <v/>
      </c>
      <c r="X8" s="299" t="str">
        <f t="shared" ref="X8:X27" si="7">IFERROR(W8-U8,"")</f>
        <v/>
      </c>
      <c r="Y8" s="130"/>
      <c r="Z8" s="129"/>
      <c r="AA8" s="131"/>
      <c r="AB8" s="132"/>
    </row>
    <row r="9" spans="1:28" s="119" customFormat="1" ht="12.75">
      <c r="A9" s="105"/>
      <c r="B9" s="105"/>
      <c r="C9" s="120"/>
      <c r="D9" s="121"/>
      <c r="E9" s="122"/>
      <c r="F9" s="8"/>
      <c r="G9" s="123" t="str">
        <f t="shared" si="1"/>
        <v/>
      </c>
      <c r="H9" s="123" t="str">
        <f t="shared" si="2"/>
        <v/>
      </c>
      <c r="I9" s="123" t="str">
        <f t="shared" si="3"/>
        <v/>
      </c>
      <c r="J9" s="125"/>
      <c r="K9" s="126">
        <f t="shared" si="4"/>
        <v>0</v>
      </c>
      <c r="L9" s="127"/>
      <c r="M9" s="128"/>
      <c r="N9" s="129"/>
      <c r="O9" s="130"/>
      <c r="P9" s="129"/>
      <c r="Q9" s="131"/>
      <c r="R9" s="299">
        <f t="shared" si="5"/>
        <v>0</v>
      </c>
      <c r="S9" s="129">
        <f t="shared" si="6"/>
        <v>0</v>
      </c>
      <c r="T9" s="130"/>
      <c r="U9" s="129"/>
      <c r="V9" s="131"/>
      <c r="W9" s="233" t="str">
        <f t="shared" si="0"/>
        <v/>
      </c>
      <c r="X9" s="299" t="str">
        <f t="shared" si="7"/>
        <v/>
      </c>
      <c r="Y9" s="130"/>
      <c r="Z9" s="129"/>
      <c r="AA9" s="131"/>
      <c r="AB9" s="132"/>
    </row>
    <row r="10" spans="1:28" s="119" customFormat="1" ht="12.75">
      <c r="A10" s="105"/>
      <c r="B10" s="105"/>
      <c r="C10" s="120"/>
      <c r="D10" s="121"/>
      <c r="E10" s="122"/>
      <c r="F10" s="8"/>
      <c r="G10" s="123" t="str">
        <f t="shared" si="1"/>
        <v/>
      </c>
      <c r="H10" s="123" t="str">
        <f t="shared" si="2"/>
        <v/>
      </c>
      <c r="I10" s="123" t="str">
        <f t="shared" si="3"/>
        <v/>
      </c>
      <c r="J10" s="125"/>
      <c r="K10" s="126">
        <f t="shared" si="4"/>
        <v>0</v>
      </c>
      <c r="L10" s="127"/>
      <c r="M10" s="128"/>
      <c r="N10" s="129"/>
      <c r="O10" s="130"/>
      <c r="P10" s="129"/>
      <c r="Q10" s="131"/>
      <c r="R10" s="299">
        <f t="shared" si="5"/>
        <v>0</v>
      </c>
      <c r="S10" s="129">
        <f t="shared" si="6"/>
        <v>0</v>
      </c>
      <c r="T10" s="130"/>
      <c r="U10" s="129"/>
      <c r="V10" s="131"/>
      <c r="W10" s="233" t="str">
        <f t="shared" si="0"/>
        <v/>
      </c>
      <c r="X10" s="299" t="str">
        <f t="shared" si="7"/>
        <v/>
      </c>
      <c r="Y10" s="130"/>
      <c r="Z10" s="129"/>
      <c r="AA10" s="131"/>
      <c r="AB10" s="132"/>
    </row>
    <row r="11" spans="1:28" s="119" customFormat="1" ht="12.75">
      <c r="A11" s="105"/>
      <c r="B11" s="105"/>
      <c r="C11" s="120"/>
      <c r="D11" s="121"/>
      <c r="E11" s="122"/>
      <c r="F11" s="8"/>
      <c r="G11" s="123" t="str">
        <f t="shared" si="1"/>
        <v/>
      </c>
      <c r="H11" s="123" t="str">
        <f t="shared" si="2"/>
        <v/>
      </c>
      <c r="I11" s="123" t="str">
        <f t="shared" si="3"/>
        <v/>
      </c>
      <c r="J11" s="125"/>
      <c r="K11" s="126">
        <f t="shared" si="4"/>
        <v>0</v>
      </c>
      <c r="L11" s="127"/>
      <c r="M11" s="128"/>
      <c r="N11" s="129"/>
      <c r="O11" s="130"/>
      <c r="P11" s="129"/>
      <c r="Q11" s="131"/>
      <c r="R11" s="299">
        <f t="shared" si="5"/>
        <v>0</v>
      </c>
      <c r="S11" s="129">
        <f t="shared" si="6"/>
        <v>0</v>
      </c>
      <c r="T11" s="130"/>
      <c r="U11" s="129"/>
      <c r="V11" s="131"/>
      <c r="W11" s="233" t="str">
        <f t="shared" si="0"/>
        <v/>
      </c>
      <c r="X11" s="299" t="str">
        <f t="shared" si="7"/>
        <v/>
      </c>
      <c r="Y11" s="130"/>
      <c r="Z11" s="129"/>
      <c r="AA11" s="131"/>
      <c r="AB11" s="132"/>
    </row>
    <row r="12" spans="1:28" s="119" customFormat="1" ht="12.75">
      <c r="A12" s="105"/>
      <c r="B12" s="105"/>
      <c r="C12" s="120"/>
      <c r="D12" s="121"/>
      <c r="E12" s="122"/>
      <c r="F12" s="8"/>
      <c r="G12" s="123" t="str">
        <f t="shared" si="1"/>
        <v/>
      </c>
      <c r="H12" s="123" t="str">
        <f t="shared" si="2"/>
        <v/>
      </c>
      <c r="I12" s="123" t="str">
        <f t="shared" si="3"/>
        <v/>
      </c>
      <c r="J12" s="125"/>
      <c r="K12" s="126">
        <f t="shared" si="4"/>
        <v>0</v>
      </c>
      <c r="L12" s="127"/>
      <c r="M12" s="128"/>
      <c r="N12" s="129"/>
      <c r="O12" s="130"/>
      <c r="P12" s="129"/>
      <c r="Q12" s="131"/>
      <c r="R12" s="299">
        <f t="shared" si="5"/>
        <v>0</v>
      </c>
      <c r="S12" s="129">
        <f t="shared" si="6"/>
        <v>0</v>
      </c>
      <c r="T12" s="130"/>
      <c r="U12" s="129"/>
      <c r="V12" s="131"/>
      <c r="W12" s="233" t="str">
        <f t="shared" si="0"/>
        <v/>
      </c>
      <c r="X12" s="299" t="str">
        <f t="shared" si="7"/>
        <v/>
      </c>
      <c r="Y12" s="130"/>
      <c r="Z12" s="129"/>
      <c r="AA12" s="131"/>
      <c r="AB12" s="132"/>
    </row>
    <row r="13" spans="1:28" s="119" customFormat="1" ht="12.75">
      <c r="A13" s="105"/>
      <c r="B13" s="105"/>
      <c r="C13" s="120"/>
      <c r="D13" s="121"/>
      <c r="E13" s="122"/>
      <c r="F13" s="8"/>
      <c r="G13" s="123" t="str">
        <f t="shared" si="1"/>
        <v/>
      </c>
      <c r="H13" s="123" t="str">
        <f t="shared" si="2"/>
        <v/>
      </c>
      <c r="I13" s="123" t="str">
        <f t="shared" si="3"/>
        <v/>
      </c>
      <c r="J13" s="125"/>
      <c r="K13" s="126">
        <f t="shared" si="4"/>
        <v>0</v>
      </c>
      <c r="L13" s="127"/>
      <c r="M13" s="128"/>
      <c r="N13" s="129"/>
      <c r="O13" s="130"/>
      <c r="P13" s="129"/>
      <c r="Q13" s="131"/>
      <c r="R13" s="299">
        <f t="shared" si="5"/>
        <v>0</v>
      </c>
      <c r="S13" s="129">
        <f t="shared" si="6"/>
        <v>0</v>
      </c>
      <c r="T13" s="130"/>
      <c r="U13" s="129"/>
      <c r="V13" s="131"/>
      <c r="W13" s="233" t="str">
        <f t="shared" si="0"/>
        <v/>
      </c>
      <c r="X13" s="299" t="str">
        <f t="shared" si="7"/>
        <v/>
      </c>
      <c r="Y13" s="130"/>
      <c r="Z13" s="129"/>
      <c r="AA13" s="131"/>
      <c r="AB13" s="132"/>
    </row>
    <row r="14" spans="1:28" s="119" customFormat="1" ht="12.75">
      <c r="A14" s="105"/>
      <c r="B14" s="105"/>
      <c r="C14" s="120"/>
      <c r="D14" s="121"/>
      <c r="E14" s="122"/>
      <c r="F14" s="8"/>
      <c r="G14" s="123" t="str">
        <f t="shared" si="1"/>
        <v/>
      </c>
      <c r="H14" s="123" t="str">
        <f t="shared" si="2"/>
        <v/>
      </c>
      <c r="I14" s="123" t="str">
        <f t="shared" si="3"/>
        <v/>
      </c>
      <c r="J14" s="125"/>
      <c r="K14" s="126">
        <f t="shared" si="4"/>
        <v>0</v>
      </c>
      <c r="L14" s="127"/>
      <c r="M14" s="128"/>
      <c r="N14" s="129"/>
      <c r="O14" s="130"/>
      <c r="P14" s="129"/>
      <c r="Q14" s="131"/>
      <c r="R14" s="299">
        <f t="shared" si="5"/>
        <v>0</v>
      </c>
      <c r="S14" s="129">
        <f t="shared" si="6"/>
        <v>0</v>
      </c>
      <c r="T14" s="130"/>
      <c r="U14" s="129"/>
      <c r="V14" s="131"/>
      <c r="W14" s="233" t="str">
        <f t="shared" si="0"/>
        <v/>
      </c>
      <c r="X14" s="299" t="str">
        <f t="shared" si="7"/>
        <v/>
      </c>
      <c r="Y14" s="130"/>
      <c r="Z14" s="129"/>
      <c r="AA14" s="131"/>
      <c r="AB14" s="132"/>
    </row>
    <row r="15" spans="1:28" s="119" customFormat="1" ht="12.75">
      <c r="A15" s="105"/>
      <c r="B15" s="105"/>
      <c r="C15" s="120"/>
      <c r="D15" s="121"/>
      <c r="E15" s="122"/>
      <c r="F15" s="8"/>
      <c r="G15" s="123" t="str">
        <f t="shared" si="1"/>
        <v/>
      </c>
      <c r="H15" s="123" t="str">
        <f t="shared" si="2"/>
        <v/>
      </c>
      <c r="I15" s="123" t="str">
        <f t="shared" si="3"/>
        <v/>
      </c>
      <c r="J15" s="125"/>
      <c r="K15" s="126">
        <f t="shared" si="4"/>
        <v>0</v>
      </c>
      <c r="L15" s="127"/>
      <c r="M15" s="128"/>
      <c r="N15" s="129"/>
      <c r="O15" s="130"/>
      <c r="P15" s="129"/>
      <c r="Q15" s="131"/>
      <c r="R15" s="299">
        <f t="shared" si="5"/>
        <v>0</v>
      </c>
      <c r="S15" s="129">
        <f t="shared" si="6"/>
        <v>0</v>
      </c>
      <c r="T15" s="130"/>
      <c r="U15" s="129"/>
      <c r="V15" s="131"/>
      <c r="W15" s="233" t="str">
        <f t="shared" si="0"/>
        <v/>
      </c>
      <c r="X15" s="299" t="str">
        <f t="shared" si="7"/>
        <v/>
      </c>
      <c r="Y15" s="130"/>
      <c r="Z15" s="129"/>
      <c r="AA15" s="131"/>
      <c r="AB15" s="132"/>
    </row>
    <row r="16" spans="1:28" s="119" customFormat="1" ht="12.75">
      <c r="A16" s="105"/>
      <c r="B16" s="105"/>
      <c r="C16" s="120"/>
      <c r="D16" s="121"/>
      <c r="E16" s="122"/>
      <c r="F16" s="8"/>
      <c r="G16" s="123" t="str">
        <f t="shared" si="1"/>
        <v/>
      </c>
      <c r="H16" s="123" t="str">
        <f t="shared" si="2"/>
        <v/>
      </c>
      <c r="I16" s="123" t="str">
        <f t="shared" si="3"/>
        <v/>
      </c>
      <c r="J16" s="125"/>
      <c r="K16" s="126">
        <f t="shared" si="4"/>
        <v>0</v>
      </c>
      <c r="L16" s="127"/>
      <c r="M16" s="128"/>
      <c r="N16" s="129"/>
      <c r="O16" s="130"/>
      <c r="P16" s="129"/>
      <c r="Q16" s="131"/>
      <c r="R16" s="299">
        <f t="shared" si="5"/>
        <v>0</v>
      </c>
      <c r="S16" s="129">
        <f t="shared" si="6"/>
        <v>0</v>
      </c>
      <c r="T16" s="130"/>
      <c r="U16" s="129"/>
      <c r="V16" s="131"/>
      <c r="W16" s="233" t="str">
        <f t="shared" si="0"/>
        <v/>
      </c>
      <c r="X16" s="299" t="str">
        <f t="shared" si="7"/>
        <v/>
      </c>
      <c r="Y16" s="130"/>
      <c r="Z16" s="129"/>
      <c r="AA16" s="131"/>
      <c r="AB16" s="132"/>
    </row>
    <row r="17" spans="1:28" s="119" customFormat="1" ht="12.75">
      <c r="A17" s="105"/>
      <c r="B17" s="105"/>
      <c r="C17" s="120"/>
      <c r="D17" s="121"/>
      <c r="E17" s="122"/>
      <c r="F17" s="8"/>
      <c r="G17" s="123" t="str">
        <f t="shared" si="1"/>
        <v/>
      </c>
      <c r="H17" s="123" t="str">
        <f t="shared" si="2"/>
        <v/>
      </c>
      <c r="I17" s="123" t="str">
        <f t="shared" si="3"/>
        <v/>
      </c>
      <c r="J17" s="125"/>
      <c r="K17" s="126">
        <f t="shared" si="4"/>
        <v>0</v>
      </c>
      <c r="L17" s="127"/>
      <c r="M17" s="128"/>
      <c r="N17" s="129"/>
      <c r="O17" s="130"/>
      <c r="P17" s="129"/>
      <c r="Q17" s="131"/>
      <c r="R17" s="299">
        <f t="shared" si="5"/>
        <v>0</v>
      </c>
      <c r="S17" s="129">
        <f t="shared" si="6"/>
        <v>0</v>
      </c>
      <c r="T17" s="130"/>
      <c r="U17" s="129"/>
      <c r="V17" s="131"/>
      <c r="W17" s="233" t="str">
        <f t="shared" si="0"/>
        <v/>
      </c>
      <c r="X17" s="299" t="str">
        <f t="shared" si="7"/>
        <v/>
      </c>
      <c r="Y17" s="130"/>
      <c r="Z17" s="129"/>
      <c r="AA17" s="131"/>
      <c r="AB17" s="132"/>
    </row>
    <row r="18" spans="1:28" s="119" customFormat="1" ht="12.75">
      <c r="A18" s="105"/>
      <c r="B18" s="105"/>
      <c r="C18" s="120"/>
      <c r="D18" s="121"/>
      <c r="E18" s="122"/>
      <c r="F18" s="8"/>
      <c r="G18" s="123" t="str">
        <f t="shared" si="1"/>
        <v/>
      </c>
      <c r="H18" s="123" t="str">
        <f t="shared" si="2"/>
        <v/>
      </c>
      <c r="I18" s="123" t="str">
        <f t="shared" si="3"/>
        <v/>
      </c>
      <c r="J18" s="125"/>
      <c r="K18" s="126">
        <f t="shared" si="4"/>
        <v>0</v>
      </c>
      <c r="L18" s="127"/>
      <c r="M18" s="128"/>
      <c r="N18" s="129"/>
      <c r="O18" s="130"/>
      <c r="P18" s="129"/>
      <c r="Q18" s="131"/>
      <c r="R18" s="299">
        <f t="shared" si="5"/>
        <v>0</v>
      </c>
      <c r="S18" s="129">
        <f t="shared" si="6"/>
        <v>0</v>
      </c>
      <c r="T18" s="130"/>
      <c r="U18" s="129"/>
      <c r="V18" s="131"/>
      <c r="W18" s="233" t="str">
        <f t="shared" si="0"/>
        <v/>
      </c>
      <c r="X18" s="299" t="str">
        <f t="shared" si="7"/>
        <v/>
      </c>
      <c r="Y18" s="130"/>
      <c r="Z18" s="129"/>
      <c r="AA18" s="131"/>
      <c r="AB18" s="132"/>
    </row>
    <row r="19" spans="1:28" s="119" customFormat="1" ht="12.75">
      <c r="A19" s="105"/>
      <c r="B19" s="105"/>
      <c r="C19" s="120"/>
      <c r="D19" s="121"/>
      <c r="E19" s="122"/>
      <c r="F19" s="8"/>
      <c r="G19" s="123" t="str">
        <f t="shared" si="1"/>
        <v/>
      </c>
      <c r="H19" s="123" t="str">
        <f t="shared" si="2"/>
        <v/>
      </c>
      <c r="I19" s="123" t="str">
        <f t="shared" si="3"/>
        <v/>
      </c>
      <c r="J19" s="125"/>
      <c r="K19" s="126">
        <f t="shared" si="4"/>
        <v>0</v>
      </c>
      <c r="L19" s="127"/>
      <c r="M19" s="128"/>
      <c r="N19" s="129"/>
      <c r="O19" s="130"/>
      <c r="P19" s="129"/>
      <c r="Q19" s="131"/>
      <c r="R19" s="299">
        <f t="shared" si="5"/>
        <v>0</v>
      </c>
      <c r="S19" s="129">
        <f t="shared" si="6"/>
        <v>0</v>
      </c>
      <c r="T19" s="130"/>
      <c r="U19" s="129"/>
      <c r="V19" s="131"/>
      <c r="W19" s="233" t="str">
        <f t="shared" si="0"/>
        <v/>
      </c>
      <c r="X19" s="299" t="str">
        <f t="shared" si="7"/>
        <v/>
      </c>
      <c r="Y19" s="130"/>
      <c r="Z19" s="129"/>
      <c r="AA19" s="131"/>
      <c r="AB19" s="132"/>
    </row>
    <row r="20" spans="1:28" s="119" customFormat="1" ht="12.75">
      <c r="A20" s="105"/>
      <c r="B20" s="105"/>
      <c r="C20" s="120"/>
      <c r="D20" s="121"/>
      <c r="E20" s="122"/>
      <c r="F20" s="8"/>
      <c r="G20" s="123" t="str">
        <f t="shared" si="1"/>
        <v/>
      </c>
      <c r="H20" s="123" t="str">
        <f t="shared" si="2"/>
        <v/>
      </c>
      <c r="I20" s="123" t="str">
        <f t="shared" si="3"/>
        <v/>
      </c>
      <c r="J20" s="125"/>
      <c r="K20" s="126">
        <f t="shared" si="4"/>
        <v>0</v>
      </c>
      <c r="L20" s="127"/>
      <c r="M20" s="128"/>
      <c r="N20" s="129"/>
      <c r="O20" s="130"/>
      <c r="P20" s="129"/>
      <c r="Q20" s="131"/>
      <c r="R20" s="299">
        <f t="shared" si="5"/>
        <v>0</v>
      </c>
      <c r="S20" s="129">
        <f t="shared" si="6"/>
        <v>0</v>
      </c>
      <c r="T20" s="130"/>
      <c r="U20" s="129"/>
      <c r="V20" s="131"/>
      <c r="W20" s="233" t="str">
        <f t="shared" si="0"/>
        <v/>
      </c>
      <c r="X20" s="299" t="str">
        <f t="shared" si="7"/>
        <v/>
      </c>
      <c r="Y20" s="130"/>
      <c r="Z20" s="129"/>
      <c r="AA20" s="131"/>
      <c r="AB20" s="132"/>
    </row>
    <row r="21" spans="1:28" s="119" customFormat="1" ht="12.75">
      <c r="C21" s="120"/>
      <c r="D21" s="121"/>
      <c r="E21" s="122"/>
      <c r="F21" s="8"/>
      <c r="G21" s="123" t="str">
        <f t="shared" si="1"/>
        <v/>
      </c>
      <c r="H21" s="123" t="str">
        <f>IFERROR(IF(O21=0,"",O21-Q21),0)</f>
        <v/>
      </c>
      <c r="I21" s="123" t="str">
        <f>IFERROR(IF(J21=0,"",T21-V21),"")</f>
        <v/>
      </c>
      <c r="J21" s="125"/>
      <c r="K21" s="126">
        <f>IF(J21=0,0,L21)</f>
        <v>0</v>
      </c>
      <c r="L21" s="127"/>
      <c r="M21" s="128"/>
      <c r="N21" s="129"/>
      <c r="O21" s="130"/>
      <c r="P21" s="129"/>
      <c r="Q21" s="131"/>
      <c r="R21" s="299">
        <f>(Q21*J21)-(O21*J21)</f>
        <v>0</v>
      </c>
      <c r="S21" s="129">
        <f>IFERROR(Q21*K21,"")</f>
        <v>0</v>
      </c>
      <c r="T21" s="130"/>
      <c r="U21" s="129"/>
      <c r="V21" s="131"/>
      <c r="W21" s="233" t="str">
        <f>IF(J21="","",V21*J21)</f>
        <v/>
      </c>
      <c r="X21" s="299" t="str">
        <f t="shared" si="7"/>
        <v/>
      </c>
      <c r="Y21" s="130"/>
      <c r="Z21" s="129"/>
      <c r="AA21" s="131"/>
      <c r="AB21" s="132"/>
    </row>
    <row r="22" spans="1:28" s="119" customFormat="1" ht="12.75">
      <c r="C22" s="120"/>
      <c r="D22" s="121"/>
      <c r="E22" s="122"/>
      <c r="F22" s="8"/>
      <c r="G22" s="123" t="str">
        <f t="shared" si="1"/>
        <v/>
      </c>
      <c r="H22" s="123" t="str">
        <f>IFERROR(IF(O22=0,"",O22-Q22),0)</f>
        <v/>
      </c>
      <c r="I22" s="123" t="str">
        <f>IFERROR(IF(J22=0,"",T22-V22),"")</f>
        <v/>
      </c>
      <c r="J22" s="125"/>
      <c r="K22" s="126">
        <f>IF(J22=0,0,L22)</f>
        <v>0</v>
      </c>
      <c r="L22" s="127"/>
      <c r="M22" s="128"/>
      <c r="N22" s="129"/>
      <c r="O22" s="130"/>
      <c r="P22" s="129"/>
      <c r="Q22" s="131"/>
      <c r="R22" s="299">
        <f>(Q22*J22)-(O22*J22)</f>
        <v>0</v>
      </c>
      <c r="S22" s="129">
        <f>IFERROR(Q22*K22,"")</f>
        <v>0</v>
      </c>
      <c r="T22" s="130"/>
      <c r="U22" s="129"/>
      <c r="V22" s="131"/>
      <c r="W22" s="233" t="str">
        <f>IF(J22="","",V22*J22)</f>
        <v/>
      </c>
      <c r="X22" s="299" t="str">
        <f t="shared" si="7"/>
        <v/>
      </c>
      <c r="Y22" s="130"/>
      <c r="Z22" s="129"/>
      <c r="AA22" s="131"/>
      <c r="AB22" s="132"/>
    </row>
    <row r="23" spans="1:28" s="119" customFormat="1" ht="12.75">
      <c r="C23" s="120"/>
      <c r="D23" s="121"/>
      <c r="E23" s="122"/>
      <c r="F23" s="8"/>
      <c r="G23" s="123" t="str">
        <f t="shared" si="1"/>
        <v/>
      </c>
      <c r="H23" s="123" t="str">
        <f>IFERROR(IF(O23=0,"",O23-Q23),0)</f>
        <v/>
      </c>
      <c r="I23" s="123" t="str">
        <f>IFERROR(IF(J23=0,"",T23-V23),"")</f>
        <v/>
      </c>
      <c r="J23" s="125"/>
      <c r="K23" s="126">
        <f>IF(J23=0,0,L23)</f>
        <v>0</v>
      </c>
      <c r="L23" s="127"/>
      <c r="M23" s="128"/>
      <c r="N23" s="129"/>
      <c r="O23" s="130"/>
      <c r="P23" s="129"/>
      <c r="Q23" s="131"/>
      <c r="R23" s="299">
        <f>(Q23*J23)-(O23*J23)</f>
        <v>0</v>
      </c>
      <c r="S23" s="129">
        <f>IFERROR(Q23*K23,"")</f>
        <v>0</v>
      </c>
      <c r="T23" s="130"/>
      <c r="U23" s="129"/>
      <c r="V23" s="131"/>
      <c r="W23" s="233" t="str">
        <f>IF(J23="","",V23*J23)</f>
        <v/>
      </c>
      <c r="X23" s="299" t="str">
        <f t="shared" si="7"/>
        <v/>
      </c>
      <c r="Y23" s="130"/>
      <c r="Z23" s="129"/>
      <c r="AA23" s="131"/>
      <c r="AB23" s="132"/>
    </row>
    <row r="24" spans="1:28" s="119" customFormat="1" ht="12.75">
      <c r="C24" s="120"/>
      <c r="D24" s="121"/>
      <c r="E24" s="122"/>
      <c r="F24" s="8"/>
      <c r="G24" s="123" t="str">
        <f t="shared" si="1"/>
        <v/>
      </c>
      <c r="H24" s="123" t="str">
        <f t="shared" si="2"/>
        <v/>
      </c>
      <c r="I24" s="123" t="str">
        <f t="shared" si="3"/>
        <v/>
      </c>
      <c r="J24" s="125"/>
      <c r="K24" s="126">
        <f t="shared" si="4"/>
        <v>0</v>
      </c>
      <c r="L24" s="127"/>
      <c r="M24" s="128"/>
      <c r="N24" s="129"/>
      <c r="O24" s="130"/>
      <c r="P24" s="129"/>
      <c r="Q24" s="131"/>
      <c r="R24" s="299">
        <f t="shared" si="5"/>
        <v>0</v>
      </c>
      <c r="S24" s="129">
        <f t="shared" si="6"/>
        <v>0</v>
      </c>
      <c r="T24" s="130"/>
      <c r="U24" s="129"/>
      <c r="V24" s="131"/>
      <c r="W24" s="233" t="str">
        <f t="shared" si="0"/>
        <v/>
      </c>
      <c r="X24" s="299" t="str">
        <f t="shared" si="7"/>
        <v/>
      </c>
      <c r="Y24" s="130"/>
      <c r="Z24" s="129"/>
      <c r="AA24" s="131"/>
      <c r="AB24" s="132"/>
    </row>
    <row r="25" spans="1:28" s="119" customFormat="1" ht="12.75">
      <c r="C25" s="120"/>
      <c r="D25" s="121"/>
      <c r="E25" s="122"/>
      <c r="F25" s="8"/>
      <c r="G25" s="123" t="str">
        <f t="shared" si="1"/>
        <v/>
      </c>
      <c r="H25" s="123" t="str">
        <f t="shared" si="2"/>
        <v/>
      </c>
      <c r="I25" s="123" t="str">
        <f t="shared" si="3"/>
        <v/>
      </c>
      <c r="J25" s="125"/>
      <c r="K25" s="126">
        <f t="shared" si="4"/>
        <v>0</v>
      </c>
      <c r="L25" s="127"/>
      <c r="M25" s="128"/>
      <c r="N25" s="129"/>
      <c r="O25" s="130"/>
      <c r="P25" s="129"/>
      <c r="Q25" s="131"/>
      <c r="R25" s="299">
        <f t="shared" si="5"/>
        <v>0</v>
      </c>
      <c r="S25" s="129">
        <f t="shared" si="6"/>
        <v>0</v>
      </c>
      <c r="T25" s="130"/>
      <c r="U25" s="129"/>
      <c r="V25" s="131"/>
      <c r="W25" s="233" t="str">
        <f t="shared" si="0"/>
        <v/>
      </c>
      <c r="X25" s="299" t="str">
        <f t="shared" si="7"/>
        <v/>
      </c>
      <c r="Y25" s="130"/>
      <c r="Z25" s="129"/>
      <c r="AA25" s="131"/>
      <c r="AB25" s="132"/>
    </row>
    <row r="26" spans="1:28" s="119" customFormat="1" ht="12.75">
      <c r="C26" s="120"/>
      <c r="D26" s="121"/>
      <c r="E26" s="122"/>
      <c r="F26" s="8"/>
      <c r="G26" s="123" t="str">
        <f t="shared" si="1"/>
        <v/>
      </c>
      <c r="H26" s="123" t="str">
        <f t="shared" si="2"/>
        <v/>
      </c>
      <c r="I26" s="123" t="str">
        <f t="shared" si="3"/>
        <v/>
      </c>
      <c r="J26" s="125"/>
      <c r="K26" s="126">
        <f t="shared" si="4"/>
        <v>0</v>
      </c>
      <c r="L26" s="127"/>
      <c r="M26" s="128"/>
      <c r="N26" s="129"/>
      <c r="O26" s="130"/>
      <c r="P26" s="129"/>
      <c r="Q26" s="131"/>
      <c r="R26" s="299">
        <f t="shared" si="5"/>
        <v>0</v>
      </c>
      <c r="S26" s="129">
        <f t="shared" si="6"/>
        <v>0</v>
      </c>
      <c r="T26" s="130"/>
      <c r="U26" s="129"/>
      <c r="V26" s="131"/>
      <c r="W26" s="233" t="str">
        <f t="shared" si="0"/>
        <v/>
      </c>
      <c r="X26" s="299" t="str">
        <f t="shared" si="7"/>
        <v/>
      </c>
      <c r="Y26" s="130"/>
      <c r="Z26" s="129"/>
      <c r="AA26" s="131"/>
      <c r="AB26" s="132"/>
    </row>
    <row r="27" spans="1:28" s="119" customFormat="1" ht="13.5" thickBot="1">
      <c r="C27" s="133"/>
      <c r="D27" s="134"/>
      <c r="E27" s="135"/>
      <c r="F27" s="9"/>
      <c r="G27" s="123" t="str">
        <f t="shared" si="1"/>
        <v/>
      </c>
      <c r="H27" s="123" t="str">
        <f t="shared" si="2"/>
        <v/>
      </c>
      <c r="I27" s="123" t="str">
        <f t="shared" si="3"/>
        <v/>
      </c>
      <c r="J27" s="138"/>
      <c r="K27" s="139">
        <f t="shared" si="4"/>
        <v>0</v>
      </c>
      <c r="L27" s="140"/>
      <c r="M27" s="141"/>
      <c r="N27" s="142"/>
      <c r="O27" s="143"/>
      <c r="P27" s="142"/>
      <c r="Q27" s="144"/>
      <c r="R27" s="300">
        <f t="shared" si="5"/>
        <v>0</v>
      </c>
      <c r="S27" s="142">
        <f t="shared" si="6"/>
        <v>0</v>
      </c>
      <c r="T27" s="143"/>
      <c r="U27" s="142"/>
      <c r="V27" s="144"/>
      <c r="W27" s="233" t="str">
        <f t="shared" si="0"/>
        <v/>
      </c>
      <c r="X27" s="300" t="str">
        <f t="shared" si="7"/>
        <v/>
      </c>
      <c r="Y27" s="143"/>
      <c r="Z27" s="142"/>
      <c r="AA27" s="144"/>
      <c r="AB27" s="145"/>
    </row>
    <row r="29" spans="1:28">
      <c r="AB29" s="238"/>
    </row>
  </sheetData>
  <sheetProtection sheet="1" objects="1" scenarios="1"/>
  <mergeCells count="8">
    <mergeCell ref="G1:AA1"/>
    <mergeCell ref="E4:F4"/>
    <mergeCell ref="J4:M4"/>
    <mergeCell ref="G4:I4"/>
    <mergeCell ref="AB4:AB5"/>
    <mergeCell ref="T4:V4"/>
    <mergeCell ref="Y4:AA4"/>
    <mergeCell ref="O4:R4"/>
  </mergeCells>
  <conditionalFormatting sqref="I19:I23">
    <cfRule type="iconSet" priority="37">
      <iconSet showValue="0">
        <cfvo type="percent" val="0"/>
        <cfvo type="num" val="0"/>
        <cfvo type="num" val="1E-8"/>
      </iconSet>
    </cfRule>
  </conditionalFormatting>
  <conditionalFormatting sqref="O7:O27 T7:T27 Y7:Y27 J7:J27">
    <cfRule type="cellIs" dxfId="92" priority="16" operator="equal">
      <formula>0</formula>
    </cfRule>
    <cfRule type="cellIs" dxfId="91" priority="26" operator="greaterThanOrEqual">
      <formula>L7</formula>
    </cfRule>
  </conditionalFormatting>
  <conditionalFormatting sqref="T7:T27 Y7:Y27">
    <cfRule type="cellIs" dxfId="90" priority="25" operator="greaterThanOrEqual">
      <formula>V7</formula>
    </cfRule>
  </conditionalFormatting>
  <conditionalFormatting sqref="Y7:Y27">
    <cfRule type="cellIs" dxfId="89" priority="23" operator="greaterThanOrEqual">
      <formula>AA$7</formula>
    </cfRule>
  </conditionalFormatting>
  <conditionalFormatting sqref="AB7:AB27">
    <cfRule type="cellIs" dxfId="88" priority="21" operator="equal">
      <formula>0</formula>
    </cfRule>
  </conditionalFormatting>
  <conditionalFormatting sqref="F6">
    <cfRule type="iconSet" priority="17">
      <iconSet>
        <cfvo type="percent" val="0"/>
        <cfvo type="num" val="0.8"/>
        <cfvo type="num" val="0.9"/>
      </iconSet>
    </cfRule>
  </conditionalFormatting>
  <conditionalFormatting sqref="F6">
    <cfRule type="iconSet" priority="6">
      <iconSet reverse="1">
        <cfvo type="percent" val="0"/>
        <cfvo type="num" val="5"/>
        <cfvo type="num" val="10"/>
      </iconSet>
    </cfRule>
  </conditionalFormatting>
  <conditionalFormatting sqref="I7:I27">
    <cfRule type="iconSet" priority="48">
      <iconSet showValue="0">
        <cfvo type="percent" val="0"/>
        <cfvo type="num" val="0"/>
        <cfvo type="num" val="1E-8"/>
      </iconSet>
    </cfRule>
  </conditionalFormatting>
  <conditionalFormatting sqref="F7:F27">
    <cfRule type="iconSet" priority="58">
      <iconSet reverse="1">
        <cfvo type="percent" val="0"/>
        <cfvo type="num" val="5"/>
        <cfvo type="num" val="10"/>
      </iconSet>
    </cfRule>
  </conditionalFormatting>
  <conditionalFormatting sqref="R7:R27">
    <cfRule type="cellIs" dxfId="87" priority="5" operator="greaterThan">
      <formula>0</formula>
    </cfRule>
  </conditionalFormatting>
  <conditionalFormatting sqref="X7:X27">
    <cfRule type="cellIs" dxfId="86" priority="4" operator="greaterThan">
      <formula>0</formula>
    </cfRule>
  </conditionalFormatting>
  <conditionalFormatting sqref="G6:G27">
    <cfRule type="iconSet" priority="3">
      <iconSet iconSet="3Symbols" showValue="0">
        <cfvo type="percent" val="0"/>
        <cfvo type="num" val="$G$2"/>
        <cfvo type="num" val="0"/>
      </iconSet>
    </cfRule>
  </conditionalFormatting>
  <conditionalFormatting sqref="H6:H27">
    <cfRule type="iconSet" priority="2">
      <iconSet iconSet="3Symbols" showValue="0">
        <cfvo type="percent" val="0"/>
        <cfvo type="num" val="$H$2"/>
        <cfvo type="num" val="0"/>
      </iconSet>
    </cfRule>
  </conditionalFormatting>
  <conditionalFormatting sqref="I6:I27">
    <cfRule type="iconSet" priority="1">
      <iconSet iconSet="3Symbols" showValue="0">
        <cfvo type="percent" val="0"/>
        <cfvo type="num" val="$I$2"/>
        <cfvo type="num" val="0"/>
      </iconSet>
    </cfRule>
  </conditionalFormatting>
  <printOptions horizontalCentered="1" verticalCentered="1"/>
  <pageMargins left="0.17" right="0.16" top="0" bottom="0" header="0" footer="0"/>
  <pageSetup paperSize="9" scale="65" fitToHeight="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pinner 1">
              <controlPr defaultSize="0" autoPict="0" macro="[0]!GetStoresInDistrict">
                <anchor moveWithCells="1" sizeWithCells="1">
                  <from>
                    <xdr:col>4</xdr:col>
                    <xdr:colOff>9525</xdr:colOff>
                    <xdr:row>0</xdr:row>
                    <xdr:rowOff>476250</xdr:rowOff>
                  </from>
                  <to>
                    <xdr:col>4</xdr:col>
                    <xdr:colOff>152400</xdr:colOff>
                    <xdr:row>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GetStoresInDistrict">
                <anchor moveWithCells="1" sizeWithCells="1">
                  <from>
                    <xdr:col>5</xdr:col>
                    <xdr:colOff>95250</xdr:colOff>
                    <xdr:row>0</xdr:row>
                    <xdr:rowOff>57150</xdr:rowOff>
                  </from>
                  <to>
                    <xdr:col>7</xdr:col>
                    <xdr:colOff>114300</xdr:colOff>
                    <xdr:row>0</xdr:row>
                    <xdr:rowOff>266700</xdr:rowOff>
                  </to>
                </anchor>
              </controlPr>
            </control>
          </mc:Choice>
        </mc:AlternateContent>
        <mc:AlternateContent xmlns:mc="http://schemas.openxmlformats.org/markup-compatibility/2006">
          <mc:Choice Requires="x14">
            <control shapeId="1028" r:id="rId6" name="Button 4">
              <controlPr defaultSize="0" print="0" autoFill="0" autoPict="0" macro="[0]!login">
                <anchor moveWithCells="1" sizeWithCells="1">
                  <from>
                    <xdr:col>7</xdr:col>
                    <xdr:colOff>114300</xdr:colOff>
                    <xdr:row>0</xdr:row>
                    <xdr:rowOff>57150</xdr:rowOff>
                  </from>
                  <to>
                    <xdr:col>9</xdr:col>
                    <xdr:colOff>266700</xdr:colOff>
                    <xdr:row>0</xdr:row>
                    <xdr:rowOff>266700</xdr:rowOff>
                  </to>
                </anchor>
              </controlPr>
            </control>
          </mc:Choice>
        </mc:AlternateContent>
        <mc:AlternateContent xmlns:mc="http://schemas.openxmlformats.org/markup-compatibility/2006">
          <mc:Choice Requires="x14">
            <control shapeId="1029" r:id="rId7" name="Option Button 5">
              <controlPr defaultSize="0" autoFill="0" autoLine="0" autoPict="0" macro="[0]!GetStoresInDistrict">
                <anchor moveWithCells="1">
                  <from>
                    <xdr:col>24</xdr:col>
                    <xdr:colOff>66675</xdr:colOff>
                    <xdr:row>0</xdr:row>
                    <xdr:rowOff>276225</xdr:rowOff>
                  </from>
                  <to>
                    <xdr:col>26</xdr:col>
                    <xdr:colOff>438150</xdr:colOff>
                    <xdr:row>1</xdr:row>
                    <xdr:rowOff>85725</xdr:rowOff>
                  </to>
                </anchor>
              </controlPr>
            </control>
          </mc:Choice>
        </mc:AlternateContent>
        <mc:AlternateContent xmlns:mc="http://schemas.openxmlformats.org/markup-compatibility/2006">
          <mc:Choice Requires="x14">
            <control shapeId="1030" r:id="rId8" name="Option Button 6">
              <controlPr defaultSize="0" autoFill="0" autoLine="0" autoPict="0" macro="[0]!GetStoresInDistrict">
                <anchor moveWithCells="1">
                  <from>
                    <xdr:col>24</xdr:col>
                    <xdr:colOff>66675</xdr:colOff>
                    <xdr:row>0</xdr:row>
                    <xdr:rowOff>114300</xdr:rowOff>
                  </from>
                  <to>
                    <xdr:col>26</xdr:col>
                    <xdr:colOff>438150</xdr:colOff>
                    <xdr:row>0</xdr:row>
                    <xdr:rowOff>323850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2" tint="-0.499984740745262"/>
    <pageSetUpPr fitToPage="1"/>
  </sheetPr>
  <dimension ref="A1:AA27"/>
  <sheetViews>
    <sheetView zoomScaleNormal="100" workbookViewId="0">
      <pane ySplit="27" topLeftCell="A28" activePane="bottomLeft" state="frozenSplit"/>
      <selection activeCell="C1" sqref="C1"/>
      <selection pane="bottomLeft" activeCell="AD30" sqref="AD30"/>
    </sheetView>
  </sheetViews>
  <sheetFormatPr baseColWidth="10" defaultColWidth="8.140625" defaultRowHeight="15"/>
  <cols>
    <col min="1" max="1" width="8.140625" hidden="1" customWidth="1"/>
    <col min="2" max="2" width="5.140625" hidden="1" customWidth="1"/>
    <col min="3" max="3" width="6.85546875" style="3" customWidth="1"/>
    <col min="4" max="4" width="20.140625" bestFit="1" customWidth="1"/>
    <col min="5" max="5" width="5.7109375" customWidth="1"/>
    <col min="6" max="6" width="6.28515625" style="6" customWidth="1"/>
    <col min="7" max="7" width="5.140625" style="148" customWidth="1"/>
    <col min="8" max="8" width="5.28515625" style="149" bestFit="1" customWidth="1"/>
    <col min="9" max="9" width="6" style="149" bestFit="1" customWidth="1"/>
    <col min="10" max="10" width="11.7109375" style="1" bestFit="1" customWidth="1"/>
    <col min="11" max="11" width="11.5703125" style="1" hidden="1" customWidth="1"/>
    <col min="12" max="12" width="11.7109375" style="2" bestFit="1" customWidth="1"/>
    <col min="13" max="13" width="8.140625" style="10" customWidth="1"/>
    <col min="14" max="14" width="9.7109375" style="2" hidden="1" customWidth="1"/>
    <col min="15" max="15" width="8.7109375" style="10" customWidth="1"/>
    <col min="16" max="16" width="12.5703125" style="2" hidden="1" customWidth="1"/>
    <col min="17" max="17" width="7.7109375" bestFit="1" customWidth="1"/>
    <col min="18" max="18" width="9.7109375" bestFit="1" customWidth="1"/>
    <col min="19" max="19" width="4.42578125" hidden="1" customWidth="1"/>
    <col min="20" max="20" width="8.5703125" style="10" bestFit="1" customWidth="1"/>
    <col min="21" max="21" width="8.85546875" style="2" hidden="1" customWidth="1"/>
    <col min="22" max="22" width="7.28515625" style="10" bestFit="1" customWidth="1"/>
    <col min="23" max="23" width="7.28515625" style="10" hidden="1" customWidth="1"/>
    <col min="24" max="24" width="9.7109375" bestFit="1" customWidth="1"/>
    <col min="25" max="25" width="8.5703125" style="10" bestFit="1" customWidth="1"/>
    <col min="26" max="26" width="9" style="2" hidden="1" customWidth="1"/>
    <col min="27" max="27" width="6.7109375" style="10" bestFit="1" customWidth="1"/>
  </cols>
  <sheetData>
    <row r="1" spans="1:27" ht="24" customHeight="1">
      <c r="A1" s="80"/>
      <c r="B1" s="77"/>
      <c r="C1" s="79" t="str">
        <f>sysX!A2</f>
        <v>4301</v>
      </c>
      <c r="D1" s="79" t="str">
        <f>sysX!A4</f>
        <v>BERJASEN</v>
      </c>
      <c r="E1" s="81" t="str">
        <f>sysX!A6</f>
        <v>2019</v>
      </c>
      <c r="F1" s="77"/>
      <c r="G1" s="903" t="s">
        <v>156</v>
      </c>
      <c r="H1" s="903"/>
      <c r="I1" s="903"/>
      <c r="J1" s="903"/>
      <c r="K1" s="903"/>
      <c r="L1" s="903"/>
      <c r="M1" s="903"/>
      <c r="N1" s="903"/>
      <c r="O1" s="903"/>
      <c r="P1" s="903"/>
      <c r="Q1" s="903"/>
      <c r="R1" s="903"/>
      <c r="S1" s="903"/>
      <c r="T1" s="903"/>
      <c r="U1" s="903"/>
      <c r="V1" s="903"/>
      <c r="W1" s="903"/>
      <c r="X1" s="903"/>
      <c r="Y1" s="903"/>
      <c r="Z1" s="903"/>
      <c r="AA1" s="903"/>
    </row>
    <row r="2" spans="1:27" ht="15.75" customHeight="1" thickBot="1">
      <c r="C2" s="87" t="s">
        <v>0</v>
      </c>
      <c r="D2" s="88">
        <v>38</v>
      </c>
      <c r="E2" s="77"/>
      <c r="F2" s="82"/>
      <c r="G2" s="903"/>
      <c r="H2" s="903"/>
      <c r="I2" s="903"/>
      <c r="J2" s="903"/>
      <c r="K2" s="903"/>
      <c r="L2" s="903"/>
      <c r="M2" s="903"/>
      <c r="N2" s="903"/>
      <c r="O2" s="903"/>
      <c r="P2" s="903"/>
      <c r="Q2" s="903"/>
      <c r="R2" s="903"/>
      <c r="S2" s="903"/>
      <c r="T2" s="903"/>
      <c r="U2" s="903"/>
      <c r="V2" s="903"/>
      <c r="W2" s="903"/>
      <c r="X2" s="903"/>
      <c r="Y2" s="903"/>
      <c r="Z2" s="903"/>
      <c r="AA2" s="903"/>
    </row>
    <row r="3" spans="1:27" ht="15.75" hidden="1" thickBot="1">
      <c r="B3" s="77"/>
      <c r="C3" s="83"/>
      <c r="D3" s="77"/>
      <c r="E3" s="77"/>
      <c r="F3" s="82"/>
      <c r="G3" s="146"/>
      <c r="H3" s="147"/>
      <c r="I3" s="147"/>
      <c r="J3" s="84"/>
      <c r="K3" s="84"/>
      <c r="L3" s="85"/>
      <c r="M3" s="86">
        <v>8</v>
      </c>
      <c r="N3" s="85"/>
      <c r="O3" s="86">
        <v>6</v>
      </c>
      <c r="P3" s="85"/>
      <c r="Q3" s="87">
        <v>7</v>
      </c>
      <c r="R3" s="87"/>
      <c r="S3" s="87"/>
      <c r="T3" s="86">
        <v>4</v>
      </c>
      <c r="U3" s="85"/>
      <c r="V3" s="86"/>
      <c r="W3" s="86"/>
      <c r="X3" s="87"/>
      <c r="Y3" s="86">
        <v>5</v>
      </c>
      <c r="Z3" s="85"/>
      <c r="AA3" s="86"/>
    </row>
    <row r="4" spans="1:27" s="119" customFormat="1" ht="15.75" thickBot="1">
      <c r="C4" s="289"/>
      <c r="D4" s="290"/>
      <c r="E4" s="904" t="s">
        <v>11</v>
      </c>
      <c r="F4" s="905"/>
      <c r="G4" s="909" t="s">
        <v>14</v>
      </c>
      <c r="H4" s="909"/>
      <c r="I4" s="905"/>
      <c r="J4" s="906" t="s">
        <v>13</v>
      </c>
      <c r="K4" s="907"/>
      <c r="L4" s="907"/>
      <c r="M4" s="908"/>
      <c r="N4" s="152"/>
      <c r="O4" s="904" t="s">
        <v>5</v>
      </c>
      <c r="P4" s="909"/>
      <c r="Q4" s="909"/>
      <c r="R4" s="909"/>
      <c r="S4" s="290"/>
      <c r="T4" s="904" t="s">
        <v>6</v>
      </c>
      <c r="U4" s="909"/>
      <c r="V4" s="905"/>
      <c r="W4" s="290"/>
      <c r="X4" s="290"/>
      <c r="Y4" s="904" t="s">
        <v>7</v>
      </c>
      <c r="Z4" s="909"/>
      <c r="AA4" s="905"/>
    </row>
    <row r="5" spans="1:27" s="205" customFormat="1" ht="26.25" customHeight="1" thickBot="1">
      <c r="A5" s="191"/>
      <c r="B5" s="191"/>
      <c r="C5" s="192" t="s">
        <v>40</v>
      </c>
      <c r="D5" s="193" t="s">
        <v>41</v>
      </c>
      <c r="E5" s="194" t="s">
        <v>12</v>
      </c>
      <c r="F5" s="209" t="s">
        <v>45</v>
      </c>
      <c r="G5" s="206" t="s">
        <v>8</v>
      </c>
      <c r="H5" s="207" t="s">
        <v>5</v>
      </c>
      <c r="I5" s="208" t="s">
        <v>6</v>
      </c>
      <c r="J5" s="196" t="s">
        <v>2</v>
      </c>
      <c r="K5" s="197"/>
      <c r="L5" s="198" t="s">
        <v>1</v>
      </c>
      <c r="M5" s="199" t="s">
        <v>9</v>
      </c>
      <c r="N5" s="200"/>
      <c r="O5" s="201" t="s">
        <v>4</v>
      </c>
      <c r="P5" s="200"/>
      <c r="Q5" s="202" t="s">
        <v>3</v>
      </c>
      <c r="R5" s="203" t="s">
        <v>43</v>
      </c>
      <c r="S5" s="203"/>
      <c r="T5" s="201" t="s">
        <v>4</v>
      </c>
      <c r="U5" s="200"/>
      <c r="V5" s="204" t="s">
        <v>3</v>
      </c>
      <c r="W5" s="232"/>
      <c r="X5" s="203" t="s">
        <v>49</v>
      </c>
      <c r="Y5" s="201" t="s">
        <v>4</v>
      </c>
      <c r="Z5" s="200"/>
      <c r="AA5" s="204" t="s">
        <v>3</v>
      </c>
    </row>
    <row r="6" spans="1:27" s="104" customFormat="1" ht="19.5" customHeight="1" thickBot="1">
      <c r="A6" s="90"/>
      <c r="B6" s="90"/>
      <c r="C6" s="91" t="s">
        <v>162</v>
      </c>
      <c r="D6" s="89" t="s">
        <v>161</v>
      </c>
      <c r="E6" s="91">
        <f>SUM(E7:E20)</f>
        <v>0</v>
      </c>
      <c r="F6" s="7">
        <f>IFERROR(AVERAGE(F7:F20),0)</f>
        <v>0</v>
      </c>
      <c r="G6" s="92">
        <f>IFERROR(IF(J6=0,"",((J6-L6)/L6)*100),0)</f>
        <v>-17.246696789175022</v>
      </c>
      <c r="H6" s="93">
        <f>IFERROR(IF(O6=0,0,O6-Q6),0)</f>
        <v>-1.0235656224152109E-2</v>
      </c>
      <c r="I6" s="94">
        <f>IFERROR(T6-V6,0)</f>
        <v>-4.828766783619284E-3</v>
      </c>
      <c r="J6" s="95">
        <f>SUM(J7:J27)</f>
        <v>847844431.63529992</v>
      </c>
      <c r="K6" s="96"/>
      <c r="L6" s="97">
        <f>SUM(K7:K27)</f>
        <v>1024544518.1508999</v>
      </c>
      <c r="M6" s="98">
        <f>IFERROR(SUM(N7:N27)/J6,0)</f>
        <v>0.24376067222777908</v>
      </c>
      <c r="N6" s="99"/>
      <c r="O6" s="100">
        <f>IFERROR(SUM(P7:P27)/J6,0)</f>
        <v>-0.11353143652113401</v>
      </c>
      <c r="P6" s="99">
        <f>SUM(P7:P20)</f>
        <v>-95346016.269999996</v>
      </c>
      <c r="Q6" s="101">
        <f>IFERROR(SUM(S7:S27)/L6,0)</f>
        <v>-0.1032957802969819</v>
      </c>
      <c r="R6" s="99">
        <f>(Q6*J6)-(O6*J6)</f>
        <v>8678244.1337805688</v>
      </c>
      <c r="S6" s="102"/>
      <c r="T6" s="100">
        <f>IFERROR(SUM(U7:U27)/J6,0)</f>
        <v>-1.9274714417219278E-2</v>
      </c>
      <c r="U6" s="99"/>
      <c r="V6" s="101">
        <f>IFERROR(SUM(W7:W27)/J6,0)</f>
        <v>-1.4445947633599994E-2</v>
      </c>
      <c r="W6" s="239"/>
      <c r="X6" s="230">
        <f>SUM(X7:X27)</f>
        <v>4094043.0291571072</v>
      </c>
      <c r="Y6" s="100">
        <f>IFERROR(SUM(Z7:Z27)/J6,0)</f>
        <v>-3.345822481287725E-3</v>
      </c>
      <c r="Z6" s="99"/>
      <c r="AA6" s="101">
        <f>IFERROR(AVERAGE(AA7:AA27),"")</f>
        <v>-2.999988161957031E-3</v>
      </c>
    </row>
    <row r="7" spans="1:27" s="119" customFormat="1" ht="12.75">
      <c r="A7" s="105"/>
      <c r="B7" s="105"/>
      <c r="C7" s="106" t="s">
        <v>75</v>
      </c>
      <c r="D7" s="107" t="s">
        <v>76</v>
      </c>
      <c r="E7" s="108"/>
      <c r="F7" s="7"/>
      <c r="G7" s="109">
        <f>IFERROR(IF(J7=0,"",((J7-L7)/L7)*100),0)</f>
        <v>1.3423922685682432</v>
      </c>
      <c r="H7" s="109">
        <f>IFERROR(IF(O7=0,"",O7-Q7),0)</f>
        <v>-5.4114149053475918E-3</v>
      </c>
      <c r="I7" s="110">
        <f>IFERROR(IF(J7=0,"",T7-V7),"")</f>
        <v>-3.3173757325780876E-3</v>
      </c>
      <c r="J7" s="111">
        <v>19906723.609999999</v>
      </c>
      <c r="K7" s="112">
        <f>IF(J7=0,0,L7)</f>
        <v>19643037</v>
      </c>
      <c r="L7" s="113">
        <v>19643037</v>
      </c>
      <c r="M7" s="114">
        <v>0.29888623338786757</v>
      </c>
      <c r="N7" s="115">
        <v>5949846.3399999999</v>
      </c>
      <c r="O7" s="116">
        <v>-0.12941135768405626</v>
      </c>
      <c r="P7" s="115">
        <v>-2576155</v>
      </c>
      <c r="Q7" s="117">
        <v>-0.12399994277870867</v>
      </c>
      <c r="R7" s="298">
        <f>(Q7*J7)-(O7*J7)</f>
        <v>107723.54085978866</v>
      </c>
      <c r="S7" s="115">
        <f>IFERROR(Q7*K7,"")</f>
        <v>-2435735.464000057</v>
      </c>
      <c r="T7" s="116">
        <v>-1.8317346714663445E-2</v>
      </c>
      <c r="U7" s="115">
        <v>-364637.34</v>
      </c>
      <c r="V7" s="117">
        <v>-1.4999970982085357E-2</v>
      </c>
      <c r="W7" s="233">
        <f t="shared" ref="W7:W27" si="0">IF(J7="","",V7*J7)</f>
        <v>-298600.27649839345</v>
      </c>
      <c r="X7" s="298">
        <f>IFERROR(W7-U7,"")</f>
        <v>66037.063501606579</v>
      </c>
      <c r="Y7" s="116">
        <v>-5.3138531174821042E-3</v>
      </c>
      <c r="Z7" s="115">
        <v>-105780.4</v>
      </c>
      <c r="AA7" s="117">
        <v>-2.9999941964170716E-3</v>
      </c>
    </row>
    <row r="8" spans="1:27" s="119" customFormat="1" ht="12.75">
      <c r="A8" s="105"/>
      <c r="B8" s="105"/>
      <c r="C8" s="120" t="s">
        <v>77</v>
      </c>
      <c r="D8" s="121" t="s">
        <v>78</v>
      </c>
      <c r="E8" s="122"/>
      <c r="F8" s="8"/>
      <c r="G8" s="123">
        <f t="shared" ref="G8:G27" si="1">IFERROR(IF(J8=0,"",((J8-L8)/L8)*100),0)</f>
        <v>-14.4791759597653</v>
      </c>
      <c r="H8" s="123">
        <f t="shared" ref="H8:H27" si="2">IFERROR(IF(O8=0,"",O8-Q8),0)</f>
        <v>-4.3718125338858549E-3</v>
      </c>
      <c r="I8" s="124">
        <f t="shared" ref="I8:I27" si="3">IFERROR(IF(J8=0,"",T8-V8),"")</f>
        <v>-3.060351713291826E-3</v>
      </c>
      <c r="J8" s="125">
        <v>25506585.77</v>
      </c>
      <c r="K8" s="126">
        <f t="shared" ref="K8:K27" si="4">IF(J8=0,0,L8)</f>
        <v>29825000</v>
      </c>
      <c r="L8" s="127">
        <v>29825000</v>
      </c>
      <c r="M8" s="128">
        <v>0.27981735635554472</v>
      </c>
      <c r="N8" s="129">
        <v>7137186.1200000001</v>
      </c>
      <c r="O8" s="130">
        <v>-0.1175498808263228</v>
      </c>
      <c r="P8" s="129">
        <v>-2998295</v>
      </c>
      <c r="Q8" s="131">
        <v>-0.11317806829243694</v>
      </c>
      <c r="R8" s="299">
        <f t="shared" ref="R8:R27" si="5">(Q8*J8)-(O8*J8)</f>
        <v>111510.01136592077</v>
      </c>
      <c r="S8" s="129">
        <f t="shared" ref="S8:S27" si="6">IFERROR(Q8*K8,"")</f>
        <v>-3375535.8868219317</v>
      </c>
      <c r="T8" s="130">
        <v>-1.7060317714969412E-2</v>
      </c>
      <c r="U8" s="129">
        <v>-435149.44</v>
      </c>
      <c r="V8" s="131">
        <v>-1.3999966001677586E-2</v>
      </c>
      <c r="W8" s="233">
        <f t="shared" si="0"/>
        <v>-357091.33359887329</v>
      </c>
      <c r="X8" s="299">
        <f t="shared" ref="X8:X27" si="7">IFERROR(W8-U8,"")</f>
        <v>78058.106401126715</v>
      </c>
      <c r="Y8" s="130">
        <v>-4.1660512749233892E-3</v>
      </c>
      <c r="Z8" s="129">
        <v>-106260.74</v>
      </c>
      <c r="AA8" s="131">
        <v>-2.999966370495679E-3</v>
      </c>
    </row>
    <row r="9" spans="1:27" s="119" customFormat="1" ht="12.75">
      <c r="A9" s="105"/>
      <c r="B9" s="105"/>
      <c r="C9" s="120" t="s">
        <v>79</v>
      </c>
      <c r="D9" s="121" t="s">
        <v>80</v>
      </c>
      <c r="E9" s="122"/>
      <c r="F9" s="8"/>
      <c r="G9" s="123">
        <f t="shared" si="1"/>
        <v>-11.385104889722854</v>
      </c>
      <c r="H9" s="123">
        <f t="shared" si="2"/>
        <v>1.3591376197657629E-3</v>
      </c>
      <c r="I9" s="124">
        <f t="shared" si="3"/>
        <v>-3.8256084340129309E-3</v>
      </c>
      <c r="J9" s="125">
        <v>74875095.3653</v>
      </c>
      <c r="K9" s="126">
        <f t="shared" si="4"/>
        <v>84494932</v>
      </c>
      <c r="L9" s="127">
        <v>84494932</v>
      </c>
      <c r="M9" s="128">
        <v>0.24842968623516701</v>
      </c>
      <c r="N9" s="129">
        <v>18601197.199999999</v>
      </c>
      <c r="O9" s="130">
        <v>-0.11967174927732191</v>
      </c>
      <c r="P9" s="129">
        <v>-8960432.5199999996</v>
      </c>
      <c r="Q9" s="131">
        <v>-0.12103088689708767</v>
      </c>
      <c r="R9" s="299">
        <f t="shared" si="5"/>
        <v>-101765.55889452994</v>
      </c>
      <c r="S9" s="129">
        <f t="shared" si="6"/>
        <v>-10226496.558269113</v>
      </c>
      <c r="T9" s="130">
        <v>-1.9825597451105827E-2</v>
      </c>
      <c r="U9" s="129">
        <v>-1484442.48</v>
      </c>
      <c r="V9" s="131">
        <v>-1.5999989017092896E-2</v>
      </c>
      <c r="W9" s="233">
        <f t="shared" si="0"/>
        <v>-1198000.7034985833</v>
      </c>
      <c r="X9" s="299">
        <f t="shared" si="7"/>
        <v>286441.77650141669</v>
      </c>
      <c r="Y9" s="130">
        <v>-4.2134272106668083E-3</v>
      </c>
      <c r="Z9" s="129">
        <v>-315479.76</v>
      </c>
      <c r="AA9" s="131">
        <v>-3.0000023788408709E-3</v>
      </c>
    </row>
    <row r="10" spans="1:27" s="119" customFormat="1" ht="12.75">
      <c r="A10" s="105"/>
      <c r="B10" s="105"/>
      <c r="C10" s="120" t="s">
        <v>81</v>
      </c>
      <c r="D10" s="121" t="s">
        <v>82</v>
      </c>
      <c r="E10" s="122"/>
      <c r="F10" s="8"/>
      <c r="G10" s="123">
        <f t="shared" si="1"/>
        <v>-5.3976171214958972</v>
      </c>
      <c r="H10" s="123">
        <f t="shared" si="2"/>
        <v>-6.9965666882458588E-4</v>
      </c>
      <c r="I10" s="124">
        <f t="shared" si="3"/>
        <v>-6.143167554143257E-3</v>
      </c>
      <c r="J10" s="125">
        <v>56228581</v>
      </c>
      <c r="K10" s="126">
        <f t="shared" si="4"/>
        <v>59436749.148500003</v>
      </c>
      <c r="L10" s="127">
        <v>59436749.148500003</v>
      </c>
      <c r="M10" s="128">
        <v>0.26172229496103228</v>
      </c>
      <c r="N10" s="129">
        <v>14716274</v>
      </c>
      <c r="O10" s="130">
        <v>-0.11505648906659212</v>
      </c>
      <c r="P10" s="129">
        <v>-6469462</v>
      </c>
      <c r="Q10" s="131">
        <v>-0.11435683239776753</v>
      </c>
      <c r="R10" s="299">
        <f t="shared" si="5"/>
        <v>39340.701675193384</v>
      </c>
      <c r="S10" s="129">
        <f t="shared" si="6"/>
        <v>-6796998.360643167</v>
      </c>
      <c r="T10" s="130">
        <v>-2.2143150689560361E-2</v>
      </c>
      <c r="U10" s="129">
        <v>-1245076.92</v>
      </c>
      <c r="V10" s="131">
        <v>-1.5999983135417103E-2</v>
      </c>
      <c r="W10" s="233">
        <f t="shared" si="0"/>
        <v>-899656.3477284346</v>
      </c>
      <c r="X10" s="299">
        <f t="shared" si="7"/>
        <v>345420.57227156532</v>
      </c>
      <c r="Y10" s="130">
        <v>-1.5656008030080076E-3</v>
      </c>
      <c r="Z10" s="129">
        <v>-88030.51</v>
      </c>
      <c r="AA10" s="131">
        <v>-3.0000126109603589E-3</v>
      </c>
    </row>
    <row r="11" spans="1:27" s="119" customFormat="1" ht="12.75">
      <c r="A11" s="105"/>
      <c r="B11" s="105"/>
      <c r="C11" s="120" t="s">
        <v>83</v>
      </c>
      <c r="D11" s="121" t="s">
        <v>84</v>
      </c>
      <c r="E11" s="122"/>
      <c r="F11" s="8"/>
      <c r="G11" s="123">
        <f t="shared" si="1"/>
        <v>-13.776809012539182</v>
      </c>
      <c r="H11" s="123">
        <f t="shared" si="2"/>
        <v>-2.7235368941982016E-2</v>
      </c>
      <c r="I11" s="124">
        <f t="shared" si="3"/>
        <v>-1.5042138093051528E-2</v>
      </c>
      <c r="J11" s="125">
        <v>33006237.510000002</v>
      </c>
      <c r="K11" s="126">
        <f t="shared" si="4"/>
        <v>38280000</v>
      </c>
      <c r="L11" s="127">
        <v>38280000</v>
      </c>
      <c r="M11" s="128">
        <v>0.25942364793410366</v>
      </c>
      <c r="N11" s="129">
        <v>8562599.2799999993</v>
      </c>
      <c r="O11" s="130">
        <v>-0.13310389412827969</v>
      </c>
      <c r="P11" s="129">
        <v>-4393257.6100000003</v>
      </c>
      <c r="Q11" s="131">
        <v>-0.10586852518629768</v>
      </c>
      <c r="R11" s="299">
        <f t="shared" si="5"/>
        <v>898937.05597153632</v>
      </c>
      <c r="S11" s="129">
        <f t="shared" si="6"/>
        <v>-4052647.1441314751</v>
      </c>
      <c r="T11" s="130">
        <v>-3.0042111577900706E-2</v>
      </c>
      <c r="U11" s="129">
        <v>-991576.04</v>
      </c>
      <c r="V11" s="131">
        <v>-1.4999973484849178E-2</v>
      </c>
      <c r="W11" s="233">
        <f t="shared" si="0"/>
        <v>-495092.6874846344</v>
      </c>
      <c r="X11" s="299">
        <f t="shared" si="7"/>
        <v>496483.35251536564</v>
      </c>
      <c r="Y11" s="130">
        <v>-4.3198881507378493E-3</v>
      </c>
      <c r="Z11" s="129">
        <v>-142582.25</v>
      </c>
      <c r="AA11" s="131">
        <v>-2.9999737983287932E-3</v>
      </c>
    </row>
    <row r="12" spans="1:27" s="119" customFormat="1" ht="12.75">
      <c r="A12" s="105"/>
      <c r="B12" s="105"/>
      <c r="C12" s="120" t="s">
        <v>65</v>
      </c>
      <c r="D12" s="121" t="s">
        <v>66</v>
      </c>
      <c r="E12" s="122"/>
      <c r="F12" s="8"/>
      <c r="G12" s="123">
        <f t="shared" si="1"/>
        <v>-3.0276718691936084</v>
      </c>
      <c r="H12" s="123">
        <f t="shared" si="2"/>
        <v>5.379605406825777E-3</v>
      </c>
      <c r="I12" s="124">
        <f t="shared" si="3"/>
        <v>-5.3285362635241591E-4</v>
      </c>
      <c r="J12" s="125">
        <v>104381014</v>
      </c>
      <c r="K12" s="126">
        <f t="shared" si="4"/>
        <v>107640000</v>
      </c>
      <c r="L12" s="127">
        <v>107640000</v>
      </c>
      <c r="M12" s="128">
        <v>0.24118222535357076</v>
      </c>
      <c r="N12" s="129">
        <v>25174846</v>
      </c>
      <c r="O12" s="130">
        <v>-9.4439905464416218E-2</v>
      </c>
      <c r="P12" s="129">
        <v>-9857732</v>
      </c>
      <c r="Q12" s="131">
        <v>-9.9819510871241995E-2</v>
      </c>
      <c r="R12" s="299">
        <f t="shared" si="5"/>
        <v>-561528.66728435829</v>
      </c>
      <c r="S12" s="129">
        <f t="shared" si="6"/>
        <v>-10744572.150180489</v>
      </c>
      <c r="T12" s="130">
        <v>-1.4532844206062649E-2</v>
      </c>
      <c r="U12" s="129">
        <v>-1516952</v>
      </c>
      <c r="V12" s="131">
        <v>-1.3999990579710233E-2</v>
      </c>
      <c r="W12" s="233">
        <f t="shared" si="0"/>
        <v>-1461333.2127006019</v>
      </c>
      <c r="X12" s="299">
        <f t="shared" si="7"/>
        <v>55618.7872993981</v>
      </c>
      <c r="Y12" s="130">
        <v>-1.4893992262749931E-3</v>
      </c>
      <c r="Z12" s="129">
        <v>-155464</v>
      </c>
      <c r="AA12" s="131">
        <v>-2.9999906819027249E-3</v>
      </c>
    </row>
    <row r="13" spans="1:27" s="119" customFormat="1" ht="12.75">
      <c r="A13" s="105"/>
      <c r="B13" s="105"/>
      <c r="C13" s="120" t="s">
        <v>85</v>
      </c>
      <c r="D13" s="121" t="s">
        <v>86</v>
      </c>
      <c r="E13" s="122"/>
      <c r="F13" s="8"/>
      <c r="G13" s="123">
        <f t="shared" si="1"/>
        <v>-8.1386261113814591</v>
      </c>
      <c r="H13" s="123">
        <f t="shared" si="2"/>
        <v>-1.841304278680421E-2</v>
      </c>
      <c r="I13" s="124">
        <f t="shared" si="3"/>
        <v>-4.6356477417640301E-3</v>
      </c>
      <c r="J13" s="125">
        <v>77540013</v>
      </c>
      <c r="K13" s="126">
        <f t="shared" si="4"/>
        <v>84409812</v>
      </c>
      <c r="L13" s="127">
        <v>84409812</v>
      </c>
      <c r="M13" s="128">
        <v>0.22428913217088489</v>
      </c>
      <c r="N13" s="129">
        <v>17391383</v>
      </c>
      <c r="O13" s="130">
        <v>-0.11164502824683598</v>
      </c>
      <c r="P13" s="129">
        <v>-8656955.8300000001</v>
      </c>
      <c r="Q13" s="131">
        <v>-9.3231985460031766E-2</v>
      </c>
      <c r="R13" s="299">
        <f t="shared" si="5"/>
        <v>1427747.5770583544</v>
      </c>
      <c r="S13" s="129">
        <f t="shared" si="6"/>
        <v>-7869694.3650680147</v>
      </c>
      <c r="T13" s="130">
        <v>-1.8635631369260042E-2</v>
      </c>
      <c r="U13" s="129">
        <v>-1445006.08</v>
      </c>
      <c r="V13" s="131">
        <v>-1.3999983627496012E-2</v>
      </c>
      <c r="W13" s="233">
        <f t="shared" si="0"/>
        <v>-1085558.9124758278</v>
      </c>
      <c r="X13" s="299">
        <f t="shared" si="7"/>
        <v>359447.16752417223</v>
      </c>
      <c r="Y13" s="130">
        <v>-4.5255087141332917E-3</v>
      </c>
      <c r="Z13" s="129">
        <v>-350907</v>
      </c>
      <c r="AA13" s="131">
        <v>-2.9999829522190744E-3</v>
      </c>
    </row>
    <row r="14" spans="1:27" s="119" customFormat="1" ht="12.75">
      <c r="A14" s="105"/>
      <c r="B14" s="105"/>
      <c r="C14" s="120" t="s">
        <v>63</v>
      </c>
      <c r="D14" s="121" t="s">
        <v>64</v>
      </c>
      <c r="E14" s="122"/>
      <c r="F14" s="8"/>
      <c r="G14" s="123">
        <f t="shared" si="1"/>
        <v>1.718399405660382</v>
      </c>
      <c r="H14" s="123">
        <f t="shared" si="2"/>
        <v>2.4630611361027427E-3</v>
      </c>
      <c r="I14" s="124">
        <f t="shared" si="3"/>
        <v>-3.3260860597454298E-4</v>
      </c>
      <c r="J14" s="125">
        <v>107821503.37</v>
      </c>
      <c r="K14" s="126">
        <f t="shared" si="4"/>
        <v>106000000</v>
      </c>
      <c r="L14" s="127">
        <v>106000000</v>
      </c>
      <c r="M14" s="128">
        <v>0.23898379092860342</v>
      </c>
      <c r="N14" s="129">
        <v>25767592.379999999</v>
      </c>
      <c r="O14" s="130">
        <v>-9.825900536651927E-2</v>
      </c>
      <c r="P14" s="129">
        <v>-10594432.58</v>
      </c>
      <c r="Q14" s="131">
        <v>-0.10072206650262201</v>
      </c>
      <c r="R14" s="299">
        <f t="shared" si="5"/>
        <v>-265570.95458681881</v>
      </c>
      <c r="S14" s="129">
        <f t="shared" si="6"/>
        <v>-10676539.049277933</v>
      </c>
      <c r="T14" s="130">
        <v>-1.333259904937086E-2</v>
      </c>
      <c r="U14" s="129">
        <v>-1437539.86</v>
      </c>
      <c r="V14" s="131">
        <v>-1.2999990443396317E-2</v>
      </c>
      <c r="W14" s="233">
        <f t="shared" si="0"/>
        <v>-1401678.5134026238</v>
      </c>
      <c r="X14" s="299">
        <f t="shared" si="7"/>
        <v>35861.34659737628</v>
      </c>
      <c r="Y14" s="130">
        <v>-2.3089483500766768E-3</v>
      </c>
      <c r="Z14" s="129">
        <v>-248953.28</v>
      </c>
      <c r="AA14" s="131">
        <v>-2.9999905377359384E-3</v>
      </c>
    </row>
    <row r="15" spans="1:27" s="119" customFormat="1" ht="12.75">
      <c r="A15" s="105"/>
      <c r="B15" s="105"/>
      <c r="C15" s="120" t="s">
        <v>67</v>
      </c>
      <c r="D15" s="121" t="s">
        <v>68</v>
      </c>
      <c r="E15" s="122"/>
      <c r="F15" s="8"/>
      <c r="G15" s="123">
        <f t="shared" si="1"/>
        <v>-16.502544621873323</v>
      </c>
      <c r="H15" s="123">
        <f t="shared" si="2"/>
        <v>-3.0876471227254093E-2</v>
      </c>
      <c r="I15" s="124">
        <f t="shared" si="3"/>
        <v>-1.1370466260280517E-2</v>
      </c>
      <c r="J15" s="125">
        <v>59658693.43</v>
      </c>
      <c r="K15" s="126">
        <f t="shared" si="4"/>
        <v>71449714.437199995</v>
      </c>
      <c r="L15" s="127">
        <v>71449714.437199995</v>
      </c>
      <c r="M15" s="128">
        <v>0.25355633293084562</v>
      </c>
      <c r="N15" s="129">
        <v>15126840.279999999</v>
      </c>
      <c r="O15" s="130">
        <v>-0.12743546950715495</v>
      </c>
      <c r="P15" s="129">
        <v>-7602632.4800000004</v>
      </c>
      <c r="Q15" s="131">
        <v>-9.6558998279900859E-2</v>
      </c>
      <c r="R15" s="299">
        <f t="shared" si="5"/>
        <v>1842049.9311469682</v>
      </c>
      <c r="S15" s="129">
        <f t="shared" si="6"/>
        <v>-6899112.8534410018</v>
      </c>
      <c r="T15" s="130">
        <v>-2.6370470017356363E-2</v>
      </c>
      <c r="U15" s="129">
        <v>-1573226.76</v>
      </c>
      <c r="V15" s="131">
        <v>-1.5000003757075846E-2</v>
      </c>
      <c r="W15" s="233">
        <f t="shared" si="0"/>
        <v>-894880.62559223606</v>
      </c>
      <c r="X15" s="299">
        <f t="shared" si="7"/>
        <v>678346.13440776395</v>
      </c>
      <c r="Y15" s="130">
        <v>-3.2331670732864567E-3</v>
      </c>
      <c r="Z15" s="129">
        <v>-192885.52</v>
      </c>
      <c r="AA15" s="131">
        <v>-2.9999699605297676E-3</v>
      </c>
    </row>
    <row r="16" spans="1:27" s="119" customFormat="1" ht="12.75">
      <c r="A16" s="105"/>
      <c r="B16" s="105"/>
      <c r="C16" s="120" t="s">
        <v>87</v>
      </c>
      <c r="D16" s="121" t="s">
        <v>88</v>
      </c>
      <c r="E16" s="122"/>
      <c r="F16" s="8"/>
      <c r="G16" s="123">
        <f t="shared" si="1"/>
        <v>-5.1642873514242567</v>
      </c>
      <c r="H16" s="123">
        <f t="shared" si="2"/>
        <v>-6.8213075219808142E-2</v>
      </c>
      <c r="I16" s="124">
        <f t="shared" si="3"/>
        <v>-2.7667773665706583E-2</v>
      </c>
      <c r="J16" s="125">
        <v>40594922.789999999</v>
      </c>
      <c r="K16" s="126">
        <f t="shared" si="4"/>
        <v>42805523</v>
      </c>
      <c r="L16" s="127">
        <v>42805523</v>
      </c>
      <c r="M16" s="128">
        <v>0.24266636233369129</v>
      </c>
      <c r="N16" s="129">
        <v>9851023</v>
      </c>
      <c r="O16" s="130">
        <v>-0.17756988564455614</v>
      </c>
      <c r="P16" s="129">
        <v>-7208434.6200000001</v>
      </c>
      <c r="Q16" s="131">
        <v>-0.109356810424748</v>
      </c>
      <c r="R16" s="299">
        <f t="shared" si="5"/>
        <v>2769104.521816574</v>
      </c>
      <c r="S16" s="129">
        <f t="shared" si="6"/>
        <v>-4681075.4638431901</v>
      </c>
      <c r="T16" s="130">
        <v>-3.7667744697482762E-2</v>
      </c>
      <c r="U16" s="129">
        <v>-1529118.15</v>
      </c>
      <c r="V16" s="131">
        <v>-9.9999710317761788E-3</v>
      </c>
      <c r="W16" s="233">
        <f t="shared" si="0"/>
        <v>-405948.05193719058</v>
      </c>
      <c r="X16" s="299">
        <f t="shared" si="7"/>
        <v>1123170.0980628093</v>
      </c>
      <c r="Y16" s="130">
        <v>-5.3711028469997212E-3</v>
      </c>
      <c r="Z16" s="129">
        <v>-218038.5</v>
      </c>
      <c r="AA16" s="131">
        <v>-2.999986637238689E-3</v>
      </c>
    </row>
    <row r="17" spans="1:27" s="119" customFormat="1" ht="12.75">
      <c r="A17" s="105"/>
      <c r="B17" s="105"/>
      <c r="C17" s="120" t="s">
        <v>89</v>
      </c>
      <c r="D17" s="121" t="s">
        <v>90</v>
      </c>
      <c r="E17" s="122"/>
      <c r="F17" s="8"/>
      <c r="G17" s="123">
        <f t="shared" si="1"/>
        <v>-7.0631953380367101</v>
      </c>
      <c r="H17" s="123">
        <f t="shared" si="2"/>
        <v>-4.9431852935775261E-3</v>
      </c>
      <c r="I17" s="124">
        <f t="shared" si="3"/>
        <v>-1.1853944177694052E-3</v>
      </c>
      <c r="J17" s="125">
        <v>62835503</v>
      </c>
      <c r="K17" s="126">
        <f t="shared" si="4"/>
        <v>67611000</v>
      </c>
      <c r="L17" s="127">
        <v>67611000</v>
      </c>
      <c r="M17" s="128">
        <v>0.240961248308321</v>
      </c>
      <c r="N17" s="129">
        <v>15140922</v>
      </c>
      <c r="O17" s="130">
        <v>-9.9631197185310938E-2</v>
      </c>
      <c r="P17" s="129">
        <v>-6260375.29</v>
      </c>
      <c r="Q17" s="131">
        <v>-9.4688011891733412E-2</v>
      </c>
      <c r="R17" s="299">
        <f t="shared" si="5"/>
        <v>310607.53434414603</v>
      </c>
      <c r="S17" s="129">
        <f t="shared" si="6"/>
        <v>-6401951.1720119873</v>
      </c>
      <c r="T17" s="130">
        <v>-1.6185379405419566E-2</v>
      </c>
      <c r="U17" s="129">
        <v>-1017015.44</v>
      </c>
      <c r="V17" s="131">
        <v>-1.4999984987650161E-2</v>
      </c>
      <c r="W17" s="233">
        <f t="shared" si="0"/>
        <v>-942531.60169144662</v>
      </c>
      <c r="X17" s="299">
        <f t="shared" si="7"/>
        <v>74483.838308553328</v>
      </c>
      <c r="Y17" s="130">
        <v>-2.6204771945643086E-3</v>
      </c>
      <c r="Z17" s="129">
        <v>-164658</v>
      </c>
      <c r="AA17" s="131">
        <v>-2.9999851651360699E-3</v>
      </c>
    </row>
    <row r="18" spans="1:27" s="119" customFormat="1" ht="12.75">
      <c r="A18" s="105"/>
      <c r="B18" s="105"/>
      <c r="C18" s="120" t="s">
        <v>91</v>
      </c>
      <c r="D18" s="121" t="s">
        <v>92</v>
      </c>
      <c r="E18" s="122"/>
      <c r="F18" s="8"/>
      <c r="G18" s="123">
        <f t="shared" si="1"/>
        <v>-9.9420614105609371</v>
      </c>
      <c r="H18" s="123">
        <f t="shared" si="2"/>
        <v>-9.393084409837521E-3</v>
      </c>
      <c r="I18" s="124">
        <f t="shared" si="3"/>
        <v>-2.9145318626643928E-3</v>
      </c>
      <c r="J18" s="125">
        <v>49288709.789999999</v>
      </c>
      <c r="K18" s="126">
        <f t="shared" si="4"/>
        <v>54730000</v>
      </c>
      <c r="L18" s="127">
        <v>54730000</v>
      </c>
      <c r="M18" s="128">
        <v>0.2406247250365432</v>
      </c>
      <c r="N18" s="129">
        <v>11860083</v>
      </c>
      <c r="O18" s="130">
        <v>-0.10982685290182055</v>
      </c>
      <c r="P18" s="129">
        <v>-5413222.7699999996</v>
      </c>
      <c r="Q18" s="131">
        <v>-0.10043376849198303</v>
      </c>
      <c r="R18" s="299">
        <f t="shared" si="5"/>
        <v>462973.01150945481</v>
      </c>
      <c r="S18" s="129">
        <f t="shared" si="6"/>
        <v>-5496740.1495662313</v>
      </c>
      <c r="T18" s="130">
        <v>-1.7914513317077302E-2</v>
      </c>
      <c r="U18" s="129">
        <v>-882982.23</v>
      </c>
      <c r="V18" s="131">
        <v>-1.4999981454412909E-2</v>
      </c>
      <c r="W18" s="233">
        <f t="shared" si="0"/>
        <v>-739329.73276193999</v>
      </c>
      <c r="X18" s="299">
        <f t="shared" si="7"/>
        <v>143652.49723805999</v>
      </c>
      <c r="Y18" s="130">
        <v>-2.9140751203679482E-3</v>
      </c>
      <c r="Z18" s="129">
        <v>-143630</v>
      </c>
      <c r="AA18" s="131">
        <v>-2.9999816736710821E-3</v>
      </c>
    </row>
    <row r="19" spans="1:27" s="119" customFormat="1" ht="12.75">
      <c r="A19" s="105"/>
      <c r="B19" s="105"/>
      <c r="C19" s="120" t="s">
        <v>93</v>
      </c>
      <c r="D19" s="121" t="s">
        <v>94</v>
      </c>
      <c r="E19" s="122"/>
      <c r="F19" s="8"/>
      <c r="G19" s="123">
        <f t="shared" si="1"/>
        <v>-2.9430932932072227</v>
      </c>
      <c r="H19" s="123">
        <f t="shared" si="2"/>
        <v>-1.5166695846997175E-3</v>
      </c>
      <c r="I19" s="124">
        <f t="shared" si="3"/>
        <v>-1.3029915368662041E-3</v>
      </c>
      <c r="J19" s="125">
        <v>45150873</v>
      </c>
      <c r="K19" s="126">
        <f t="shared" si="4"/>
        <v>46520000</v>
      </c>
      <c r="L19" s="127">
        <v>46520000</v>
      </c>
      <c r="M19" s="128">
        <v>0.22011174003461106</v>
      </c>
      <c r="N19" s="129">
        <v>9938238</v>
      </c>
      <c r="O19" s="130">
        <v>-0.11258547631150954</v>
      </c>
      <c r="P19" s="129">
        <v>-5083331.43</v>
      </c>
      <c r="Q19" s="131">
        <v>-0.11106880672680983</v>
      </c>
      <c r="R19" s="299">
        <f t="shared" si="5"/>
        <v>68478.955801740289</v>
      </c>
      <c r="S19" s="129">
        <f t="shared" si="6"/>
        <v>-5166920.8889311934</v>
      </c>
      <c r="T19" s="130">
        <v>-1.7302969696797885E-2</v>
      </c>
      <c r="U19" s="129">
        <v>-781243.17</v>
      </c>
      <c r="V19" s="131">
        <v>-1.5999978159931681E-2</v>
      </c>
      <c r="W19" s="233">
        <f t="shared" si="0"/>
        <v>-722412.98190184904</v>
      </c>
      <c r="X19" s="299">
        <f t="shared" si="7"/>
        <v>58830.188098151004</v>
      </c>
      <c r="Y19" s="130">
        <v>-3.8942990957073873E-3</v>
      </c>
      <c r="Z19" s="129">
        <v>-175830</v>
      </c>
      <c r="AA19" s="131">
        <v>-2.999978439381375E-3</v>
      </c>
    </row>
    <row r="20" spans="1:27" s="119" customFormat="1" ht="12.75">
      <c r="A20" s="105"/>
      <c r="B20" s="105"/>
      <c r="C20" s="120" t="s">
        <v>95</v>
      </c>
      <c r="D20" s="121" t="s">
        <v>96</v>
      </c>
      <c r="E20" s="122"/>
      <c r="F20" s="8"/>
      <c r="G20" s="123">
        <f t="shared" si="1"/>
        <v>-8.5804720410336817</v>
      </c>
      <c r="H20" s="123">
        <f t="shared" si="2"/>
        <v>-4.1396064447714459E-3</v>
      </c>
      <c r="I20" s="124">
        <f t="shared" si="3"/>
        <v>-3.9596321188489943E-3</v>
      </c>
      <c r="J20" s="125">
        <v>82881739</v>
      </c>
      <c r="K20" s="126">
        <f t="shared" si="4"/>
        <v>90660869.565200001</v>
      </c>
      <c r="L20" s="127">
        <v>90660869.565200001</v>
      </c>
      <c r="M20" s="128">
        <v>0.24377894923004631</v>
      </c>
      <c r="N20" s="129">
        <v>20204824</v>
      </c>
      <c r="O20" s="130">
        <v>-0.11186177273454377</v>
      </c>
      <c r="P20" s="129">
        <v>-9271297.1400000006</v>
      </c>
      <c r="Q20" s="131">
        <v>-0.10772216628977233</v>
      </c>
      <c r="R20" s="299">
        <f t="shared" si="5"/>
        <v>343097.78091826476</v>
      </c>
      <c r="S20" s="129">
        <f t="shared" si="6"/>
        <v>-9766185.2672778331</v>
      </c>
      <c r="T20" s="130">
        <v>-1.8959609413596031E-2</v>
      </c>
      <c r="U20" s="129">
        <v>-1571404.38</v>
      </c>
      <c r="V20" s="131">
        <v>-1.4999977294747037E-2</v>
      </c>
      <c r="W20" s="233">
        <f t="shared" si="0"/>
        <v>-1243224.2031491499</v>
      </c>
      <c r="X20" s="299">
        <f t="shared" si="7"/>
        <v>328180.17685085</v>
      </c>
      <c r="Y20" s="130">
        <v>-4.7499607211422138E-3</v>
      </c>
      <c r="Z20" s="129">
        <v>-393684</v>
      </c>
      <c r="AA20" s="131">
        <v>-3.0000153131598158E-3</v>
      </c>
    </row>
    <row r="21" spans="1:27" s="119" customFormat="1" ht="12.75">
      <c r="C21" s="120" t="s">
        <v>137</v>
      </c>
      <c r="D21" s="121" t="s">
        <v>138</v>
      </c>
      <c r="E21" s="122"/>
      <c r="F21" s="8"/>
      <c r="G21" s="123">
        <f t="shared" si="1"/>
        <v>-93.251503634634844</v>
      </c>
      <c r="H21" s="123">
        <f t="shared" si="2"/>
        <v>-1.8656166335973154E-2</v>
      </c>
      <c r="I21" s="124">
        <f t="shared" si="3"/>
        <v>4.4057326285704725E-3</v>
      </c>
      <c r="J21" s="125">
        <v>8168237</v>
      </c>
      <c r="K21" s="126">
        <f t="shared" si="4"/>
        <v>121037881</v>
      </c>
      <c r="L21" s="127">
        <v>121037881</v>
      </c>
      <c r="M21" s="128">
        <v>0.15282038863715494</v>
      </c>
      <c r="N21" s="129">
        <v>1248274</v>
      </c>
      <c r="O21" s="130">
        <v>-0.11152726243463093</v>
      </c>
      <c r="P21" s="129">
        <v>-910980</v>
      </c>
      <c r="Q21" s="131">
        <v>-9.2871096098657777E-2</v>
      </c>
      <c r="R21" s="299">
        <f t="shared" si="5"/>
        <v>152387.98814365035</v>
      </c>
      <c r="S21" s="129">
        <f t="shared" si="6"/>
        <v>-11240920.677928904</v>
      </c>
      <c r="T21" s="130">
        <v>-8.152310976323407E-3</v>
      </c>
      <c r="U21" s="129">
        <v>-66589</v>
      </c>
      <c r="V21" s="131">
        <v>-1.2558043604893879E-2</v>
      </c>
      <c r="W21" s="233">
        <f t="shared" si="0"/>
        <v>-102577.07642110757</v>
      </c>
      <c r="X21" s="299">
        <f t="shared" si="7"/>
        <v>-35988.076421107573</v>
      </c>
      <c r="Y21" s="130">
        <v>-4.2302891346430241E-3</v>
      </c>
      <c r="Z21" s="129">
        <v>-34553</v>
      </c>
      <c r="AA21" s="131">
        <v>-2.9999917133381429E-3</v>
      </c>
    </row>
    <row r="22" spans="1:27" s="119" customFormat="1" ht="12.75">
      <c r="C22" s="120"/>
      <c r="D22" s="121"/>
      <c r="E22" s="122"/>
      <c r="F22" s="8"/>
      <c r="G22" s="123" t="str">
        <f t="shared" si="1"/>
        <v/>
      </c>
      <c r="H22" s="123" t="str">
        <f t="shared" si="2"/>
        <v/>
      </c>
      <c r="I22" s="124" t="str">
        <f t="shared" si="3"/>
        <v/>
      </c>
      <c r="J22" s="125"/>
      <c r="K22" s="126">
        <f t="shared" si="4"/>
        <v>0</v>
      </c>
      <c r="L22" s="127"/>
      <c r="M22" s="128"/>
      <c r="N22" s="129"/>
      <c r="O22" s="130"/>
      <c r="P22" s="129"/>
      <c r="Q22" s="131"/>
      <c r="R22" s="299">
        <f t="shared" si="5"/>
        <v>0</v>
      </c>
      <c r="S22" s="129">
        <f t="shared" si="6"/>
        <v>0</v>
      </c>
      <c r="T22" s="130"/>
      <c r="U22" s="129"/>
      <c r="V22" s="131"/>
      <c r="W22" s="233" t="str">
        <f t="shared" si="0"/>
        <v/>
      </c>
      <c r="X22" s="299" t="str">
        <f t="shared" si="7"/>
        <v/>
      </c>
      <c r="Y22" s="130"/>
      <c r="Z22" s="129"/>
      <c r="AA22" s="131"/>
    </row>
    <row r="23" spans="1:27" s="119" customFormat="1" ht="12.75">
      <c r="C23" s="120"/>
      <c r="D23" s="121"/>
      <c r="E23" s="122"/>
      <c r="F23" s="8"/>
      <c r="G23" s="123" t="str">
        <f t="shared" si="1"/>
        <v/>
      </c>
      <c r="H23" s="123" t="str">
        <f t="shared" si="2"/>
        <v/>
      </c>
      <c r="I23" s="124" t="str">
        <f t="shared" si="3"/>
        <v/>
      </c>
      <c r="J23" s="125"/>
      <c r="K23" s="126">
        <f t="shared" si="4"/>
        <v>0</v>
      </c>
      <c r="L23" s="127"/>
      <c r="M23" s="128"/>
      <c r="N23" s="129"/>
      <c r="O23" s="130"/>
      <c r="P23" s="129"/>
      <c r="Q23" s="131"/>
      <c r="R23" s="299">
        <f t="shared" si="5"/>
        <v>0</v>
      </c>
      <c r="S23" s="129">
        <f t="shared" si="6"/>
        <v>0</v>
      </c>
      <c r="T23" s="130"/>
      <c r="U23" s="129"/>
      <c r="V23" s="131"/>
      <c r="W23" s="233" t="str">
        <f t="shared" si="0"/>
        <v/>
      </c>
      <c r="X23" s="299" t="str">
        <f t="shared" si="7"/>
        <v/>
      </c>
      <c r="Y23" s="130"/>
      <c r="Z23" s="129"/>
      <c r="AA23" s="131"/>
    </row>
    <row r="24" spans="1:27" s="119" customFormat="1" ht="12.75">
      <c r="C24" s="120"/>
      <c r="D24" s="121"/>
      <c r="E24" s="122"/>
      <c r="F24" s="8"/>
      <c r="G24" s="123" t="str">
        <f t="shared" si="1"/>
        <v/>
      </c>
      <c r="H24" s="123" t="str">
        <f t="shared" si="2"/>
        <v/>
      </c>
      <c r="I24" s="124" t="str">
        <f t="shared" si="3"/>
        <v/>
      </c>
      <c r="J24" s="125"/>
      <c r="K24" s="126">
        <f t="shared" si="4"/>
        <v>0</v>
      </c>
      <c r="L24" s="127"/>
      <c r="M24" s="128"/>
      <c r="N24" s="129"/>
      <c r="O24" s="130"/>
      <c r="P24" s="129"/>
      <c r="Q24" s="131"/>
      <c r="R24" s="299">
        <f t="shared" si="5"/>
        <v>0</v>
      </c>
      <c r="S24" s="129">
        <f t="shared" si="6"/>
        <v>0</v>
      </c>
      <c r="T24" s="130"/>
      <c r="U24" s="129"/>
      <c r="V24" s="131"/>
      <c r="W24" s="233" t="str">
        <f t="shared" si="0"/>
        <v/>
      </c>
      <c r="X24" s="299" t="str">
        <f t="shared" si="7"/>
        <v/>
      </c>
      <c r="Y24" s="130"/>
      <c r="Z24" s="129"/>
      <c r="AA24" s="131"/>
    </row>
    <row r="25" spans="1:27" s="119" customFormat="1" ht="12.75">
      <c r="C25" s="120"/>
      <c r="D25" s="121"/>
      <c r="E25" s="122"/>
      <c r="F25" s="8"/>
      <c r="G25" s="123" t="str">
        <f t="shared" si="1"/>
        <v/>
      </c>
      <c r="H25" s="123" t="str">
        <f t="shared" si="2"/>
        <v/>
      </c>
      <c r="I25" s="124" t="str">
        <f t="shared" si="3"/>
        <v/>
      </c>
      <c r="J25" s="125"/>
      <c r="K25" s="126">
        <f t="shared" si="4"/>
        <v>0</v>
      </c>
      <c r="L25" s="127"/>
      <c r="M25" s="128"/>
      <c r="N25" s="129"/>
      <c r="O25" s="130"/>
      <c r="P25" s="129"/>
      <c r="Q25" s="131"/>
      <c r="R25" s="299">
        <f t="shared" si="5"/>
        <v>0</v>
      </c>
      <c r="S25" s="129">
        <f t="shared" si="6"/>
        <v>0</v>
      </c>
      <c r="T25" s="130"/>
      <c r="U25" s="129"/>
      <c r="V25" s="131"/>
      <c r="W25" s="233" t="str">
        <f t="shared" si="0"/>
        <v/>
      </c>
      <c r="X25" s="299" t="str">
        <f t="shared" si="7"/>
        <v/>
      </c>
      <c r="Y25" s="130"/>
      <c r="Z25" s="129"/>
      <c r="AA25" s="131"/>
    </row>
    <row r="26" spans="1:27" s="119" customFormat="1" ht="12.75">
      <c r="C26" s="120"/>
      <c r="D26" s="121"/>
      <c r="E26" s="122"/>
      <c r="F26" s="8"/>
      <c r="G26" s="123" t="str">
        <f t="shared" si="1"/>
        <v/>
      </c>
      <c r="H26" s="123" t="str">
        <f t="shared" si="2"/>
        <v/>
      </c>
      <c r="I26" s="124" t="str">
        <f t="shared" si="3"/>
        <v/>
      </c>
      <c r="J26" s="125"/>
      <c r="K26" s="126">
        <f t="shared" si="4"/>
        <v>0</v>
      </c>
      <c r="L26" s="127"/>
      <c r="M26" s="128"/>
      <c r="N26" s="129"/>
      <c r="O26" s="130"/>
      <c r="P26" s="129"/>
      <c r="Q26" s="131"/>
      <c r="R26" s="299">
        <f t="shared" si="5"/>
        <v>0</v>
      </c>
      <c r="S26" s="129">
        <f t="shared" si="6"/>
        <v>0</v>
      </c>
      <c r="T26" s="130"/>
      <c r="U26" s="129"/>
      <c r="V26" s="131"/>
      <c r="W26" s="233" t="str">
        <f t="shared" si="0"/>
        <v/>
      </c>
      <c r="X26" s="299" t="str">
        <f t="shared" si="7"/>
        <v/>
      </c>
      <c r="Y26" s="130"/>
      <c r="Z26" s="129"/>
      <c r="AA26" s="131"/>
    </row>
    <row r="27" spans="1:27" s="119" customFormat="1" ht="13.5" thickBot="1">
      <c r="C27" s="133"/>
      <c r="D27" s="134"/>
      <c r="E27" s="135"/>
      <c r="F27" s="9"/>
      <c r="G27" s="136" t="str">
        <f t="shared" si="1"/>
        <v/>
      </c>
      <c r="H27" s="136" t="str">
        <f t="shared" si="2"/>
        <v/>
      </c>
      <c r="I27" s="137" t="str">
        <f t="shared" si="3"/>
        <v/>
      </c>
      <c r="J27" s="138"/>
      <c r="K27" s="139">
        <f t="shared" si="4"/>
        <v>0</v>
      </c>
      <c r="L27" s="140"/>
      <c r="M27" s="141"/>
      <c r="N27" s="142"/>
      <c r="O27" s="143"/>
      <c r="P27" s="142"/>
      <c r="Q27" s="144"/>
      <c r="R27" s="300">
        <f t="shared" si="5"/>
        <v>0</v>
      </c>
      <c r="S27" s="142">
        <f t="shared" si="6"/>
        <v>0</v>
      </c>
      <c r="T27" s="143"/>
      <c r="U27" s="142"/>
      <c r="V27" s="144"/>
      <c r="W27" s="233" t="str">
        <f t="shared" si="0"/>
        <v/>
      </c>
      <c r="X27" s="300" t="str">
        <f t="shared" si="7"/>
        <v/>
      </c>
      <c r="Y27" s="143"/>
      <c r="Z27" s="142"/>
      <c r="AA27" s="144"/>
    </row>
  </sheetData>
  <sheetProtection sheet="1" objects="1" scenarios="1"/>
  <mergeCells count="7">
    <mergeCell ref="G1:AA2"/>
    <mergeCell ref="E4:F4"/>
    <mergeCell ref="G4:I4"/>
    <mergeCell ref="J4:M4"/>
    <mergeCell ref="O4:R4"/>
    <mergeCell ref="T4:V4"/>
    <mergeCell ref="Y4:AA4"/>
  </mergeCells>
  <conditionalFormatting sqref="I6">
    <cfRule type="iconSet" priority="15">
      <iconSet showValue="0">
        <cfvo type="percent" val="0"/>
        <cfvo type="num" val="0"/>
        <cfvo type="num" val="1E-8"/>
      </iconSet>
    </cfRule>
  </conditionalFormatting>
  <conditionalFormatting sqref="I19:I23">
    <cfRule type="iconSet" priority="14">
      <iconSet showValue="0">
        <cfvo type="percent" val="0"/>
        <cfvo type="num" val="0"/>
        <cfvo type="num" val="1E-8"/>
      </iconSet>
    </cfRule>
  </conditionalFormatting>
  <conditionalFormatting sqref="O7:O27 T7:T27 Y7:Y27 J7:J27">
    <cfRule type="cellIs" dxfId="85" priority="12" operator="equal">
      <formula>0</formula>
    </cfRule>
    <cfRule type="cellIs" dxfId="84" priority="13" operator="greaterThanOrEqual">
      <formula>L7</formula>
    </cfRule>
  </conditionalFormatting>
  <conditionalFormatting sqref="T7:T27 Y7:Y27">
    <cfRule type="cellIs" dxfId="83" priority="11" operator="greaterThanOrEqual">
      <formula>V7</formula>
    </cfRule>
  </conditionalFormatting>
  <conditionalFormatting sqref="Y7:Y27">
    <cfRule type="cellIs" dxfId="82" priority="10" operator="greaterThanOrEqual">
      <formula>AA$7</formula>
    </cfRule>
  </conditionalFormatting>
  <conditionalFormatting sqref="F6">
    <cfRule type="iconSet" priority="8">
      <iconSet>
        <cfvo type="percent" val="0"/>
        <cfvo type="num" val="0.8"/>
        <cfvo type="num" val="0.9"/>
      </iconSet>
    </cfRule>
  </conditionalFormatting>
  <conditionalFormatting sqref="F6">
    <cfRule type="iconSet" priority="7">
      <iconSet reverse="1">
        <cfvo type="percent" val="0"/>
        <cfvo type="num" val="5"/>
        <cfvo type="num" val="10"/>
      </iconSet>
    </cfRule>
  </conditionalFormatting>
  <conditionalFormatting sqref="G6:G27">
    <cfRule type="iconSet" priority="6">
      <iconSet showValue="0">
        <cfvo type="percent" val="0"/>
        <cfvo type="num" val="-1E-10"/>
        <cfvo type="num" val="0"/>
      </iconSet>
    </cfRule>
  </conditionalFormatting>
  <conditionalFormatting sqref="H6:I27">
    <cfRule type="iconSet" priority="5">
      <iconSet showValue="0">
        <cfvo type="percent" val="0"/>
        <cfvo type="num" val="-1.0000000000000001E-5"/>
        <cfvo type="num" val="0"/>
      </iconSet>
    </cfRule>
  </conditionalFormatting>
  <conditionalFormatting sqref="I7:I27">
    <cfRule type="iconSet" priority="4">
      <iconSet showValue="0">
        <cfvo type="percent" val="0"/>
        <cfvo type="num" val="0"/>
        <cfvo type="num" val="1E-8"/>
      </iconSet>
    </cfRule>
  </conditionalFormatting>
  <conditionalFormatting sqref="F7:F27">
    <cfRule type="iconSet" priority="3">
      <iconSet reverse="1">
        <cfvo type="percent" val="0"/>
        <cfvo type="num" val="5"/>
        <cfvo type="num" val="10"/>
      </iconSet>
    </cfRule>
  </conditionalFormatting>
  <conditionalFormatting sqref="R7:R27">
    <cfRule type="cellIs" dxfId="81" priority="2" operator="greaterThan">
      <formula>0</formula>
    </cfRule>
  </conditionalFormatting>
  <conditionalFormatting sqref="X7:X27">
    <cfRule type="cellIs" dxfId="80" priority="1" operator="greaterThan">
      <formula>0</formula>
    </cfRule>
  </conditionalFormatting>
  <printOptions horizontalCentered="1" verticalCentered="1"/>
  <pageMargins left="0.17" right="0.16" top="0" bottom="0" header="0" footer="0"/>
  <pageSetup paperSize="9" scale="64" fitToHeight="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Spinner 1">
              <controlPr defaultSize="0" autoPict="0" macro="[0]!GetStoresInDistrictYTD">
                <anchor moveWithCells="1" sizeWithCells="1">
                  <from>
                    <xdr:col>4</xdr:col>
                    <xdr:colOff>9525</xdr:colOff>
                    <xdr:row>0</xdr:row>
                    <xdr:rowOff>295275</xdr:rowOff>
                  </from>
                  <to>
                    <xdr:col>4</xdr:col>
                    <xdr:colOff>219075</xdr:colOff>
                    <xdr:row>3</xdr:row>
                    <xdr:rowOff>0</xdr:rowOff>
                  </to>
                </anchor>
              </controlPr>
            </control>
          </mc:Choice>
        </mc:AlternateContent>
        <mc:AlternateContent xmlns:mc="http://schemas.openxmlformats.org/markup-compatibility/2006">
          <mc:Choice Requires="x14">
            <control shapeId="22530" r:id="rId5" name="Button 2">
              <controlPr defaultSize="0" print="0" autoFill="0" autoPict="0" macro="[0]!GetStoresInDistrictYTD">
                <anchor moveWithCells="1" sizeWithCells="1">
                  <from>
                    <xdr:col>5</xdr:col>
                    <xdr:colOff>95250</xdr:colOff>
                    <xdr:row>0</xdr:row>
                    <xdr:rowOff>57150</xdr:rowOff>
                  </from>
                  <to>
                    <xdr:col>7</xdr:col>
                    <xdr:colOff>114300</xdr:colOff>
                    <xdr:row>0</xdr:row>
                    <xdr:rowOff>266700</xdr:rowOff>
                  </to>
                </anchor>
              </controlPr>
            </control>
          </mc:Choice>
        </mc:AlternateContent>
        <mc:AlternateContent xmlns:mc="http://schemas.openxmlformats.org/markup-compatibility/2006">
          <mc:Choice Requires="x14">
            <control shapeId="22531" r:id="rId6" name="Button 3">
              <controlPr defaultSize="0" print="0" autoFill="0" autoPict="0" macro="[0]!login">
                <anchor moveWithCells="1" sizeWithCells="1">
                  <from>
                    <xdr:col>7</xdr:col>
                    <xdr:colOff>114300</xdr:colOff>
                    <xdr:row>0</xdr:row>
                    <xdr:rowOff>57150</xdr:rowOff>
                  </from>
                  <to>
                    <xdr:col>9</xdr:col>
                    <xdr:colOff>266700</xdr:colOff>
                    <xdr:row>0</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pageSetUpPr fitToPage="1"/>
  </sheetPr>
  <dimension ref="A1:AM50"/>
  <sheetViews>
    <sheetView tabSelected="1" topLeftCell="C1" zoomScaleNormal="100" workbookViewId="0">
      <selection activeCell="K23" sqref="K23"/>
    </sheetView>
  </sheetViews>
  <sheetFormatPr baseColWidth="10" defaultColWidth="8.140625" defaultRowHeight="15"/>
  <cols>
    <col min="1" max="1" width="8.140625" hidden="1" customWidth="1"/>
    <col min="2" max="2" width="11.7109375" hidden="1" customWidth="1"/>
    <col min="3" max="3" width="6.85546875" style="3" customWidth="1"/>
    <col min="4" max="4" width="18.7109375" customWidth="1"/>
    <col min="5" max="5" width="7" bestFit="1" customWidth="1"/>
    <col min="6" max="6" width="8.140625" style="6" hidden="1" customWidth="1"/>
    <col min="7" max="7" width="5.5703125" style="3" customWidth="1"/>
    <col min="8" max="8" width="4.5703125" customWidth="1"/>
    <col min="9" max="9" width="5" customWidth="1"/>
    <col min="10" max="11" width="13" style="1" customWidth="1"/>
    <col min="12" max="12" width="13" style="2" customWidth="1"/>
    <col min="13" max="13" width="6.5703125" style="326" customWidth="1"/>
    <col min="14" max="14" width="7.5703125" style="326" hidden="1" customWidth="1"/>
    <col min="15" max="15" width="8.5703125" style="326" customWidth="1"/>
    <col min="16" max="16" width="12.28515625" style="2" customWidth="1"/>
    <col min="17" max="17" width="7.85546875" style="333" customWidth="1"/>
    <col min="18" max="18" width="10.85546875" customWidth="1"/>
    <col min="19" max="19" width="12.42578125" hidden="1" customWidth="1"/>
    <col min="20" max="20" width="6.5703125" style="326" bestFit="1" customWidth="1"/>
    <col min="21" max="21" width="11.28515625" style="2" customWidth="1"/>
    <col min="22" max="22" width="7" style="326" customWidth="1"/>
    <col min="23" max="23" width="11.42578125" style="238" hidden="1" customWidth="1"/>
    <col min="24" max="24" width="10.28515625" customWidth="1"/>
    <col min="25" max="25" width="8" style="326" hidden="1" customWidth="1"/>
    <col min="26" max="26" width="8.85546875" style="2" hidden="1" customWidth="1"/>
    <col min="27" max="27" width="7.140625" style="326" hidden="1" customWidth="1"/>
    <col min="28" max="28" width="9.7109375" style="326" customWidth="1"/>
    <col min="29" max="29" width="8.7109375" style="408" customWidth="1"/>
    <col min="30" max="30" width="8.85546875" style="408" customWidth="1"/>
    <col min="31" max="31" width="9.28515625" style="4" bestFit="1" customWidth="1"/>
    <col min="32" max="32" width="10.5703125" style="4" bestFit="1" customWidth="1"/>
    <col min="33" max="33" width="7.28515625" customWidth="1"/>
    <col min="34" max="34" width="10.5703125" bestFit="1" customWidth="1"/>
  </cols>
  <sheetData>
    <row r="1" spans="1:39" ht="24" customHeight="1">
      <c r="A1" s="80"/>
      <c r="B1" s="77"/>
      <c r="C1" s="79" t="str">
        <f>sysX!A2</f>
        <v>4301</v>
      </c>
      <c r="D1" s="79" t="str">
        <f>sysX!A4</f>
        <v>BERJASEN</v>
      </c>
      <c r="E1" s="81" t="str">
        <f>sysX!A6</f>
        <v>2019</v>
      </c>
      <c r="F1" s="77"/>
      <c r="G1" s="216"/>
      <c r="H1" s="216"/>
      <c r="I1" s="216"/>
      <c r="J1" s="923" t="s">
        <v>279</v>
      </c>
      <c r="K1" s="923"/>
      <c r="L1" s="923"/>
      <c r="M1" s="923"/>
      <c r="N1" s="923"/>
      <c r="O1" s="923"/>
      <c r="P1" s="923"/>
      <c r="Q1" s="923"/>
      <c r="R1" s="923"/>
      <c r="S1" s="923"/>
      <c r="T1" s="923"/>
      <c r="U1" s="923"/>
      <c r="V1" s="923"/>
      <c r="W1" s="923"/>
      <c r="X1" s="923"/>
      <c r="Y1" s="216"/>
      <c r="Z1" s="216"/>
      <c r="AA1" s="216"/>
      <c r="AB1" s="216"/>
      <c r="AC1" s="392"/>
      <c r="AD1" s="763" t="s">
        <v>473</v>
      </c>
      <c r="AE1" s="728"/>
      <c r="AF1" s="728"/>
      <c r="AG1" s="728"/>
      <c r="AH1" s="657"/>
      <c r="AI1" s="657"/>
      <c r="AJ1" s="657"/>
      <c r="AK1" s="657"/>
      <c r="AL1" s="657"/>
      <c r="AM1" s="657"/>
    </row>
    <row r="2" spans="1:39" ht="19.5" customHeight="1" thickBot="1">
      <c r="C2" s="87" t="s">
        <v>0</v>
      </c>
      <c r="D2" s="88">
        <v>1</v>
      </c>
      <c r="E2" s="77"/>
      <c r="F2" s="82"/>
      <c r="G2" s="377">
        <f>sysX!A16</f>
        <v>-0.01</v>
      </c>
      <c r="H2" s="377">
        <f>sysX!A18</f>
        <v>-2E-3</v>
      </c>
      <c r="I2" s="377">
        <f>sysX!A20</f>
        <v>-2E-3</v>
      </c>
      <c r="J2" s="923"/>
      <c r="K2" s="923"/>
      <c r="L2" s="923"/>
      <c r="M2" s="923"/>
      <c r="N2" s="923"/>
      <c r="O2" s="923"/>
      <c r="P2" s="923"/>
      <c r="Q2" s="923"/>
      <c r="R2" s="923"/>
      <c r="S2" s="923"/>
      <c r="T2" s="923"/>
      <c r="U2" s="923"/>
      <c r="V2" s="923"/>
      <c r="W2" s="923"/>
      <c r="X2" s="923"/>
      <c r="Y2" s="216"/>
      <c r="Z2" s="216"/>
      <c r="AA2" s="216"/>
      <c r="AB2" s="216"/>
      <c r="AC2" s="392"/>
      <c r="AD2" s="476"/>
      <c r="AE2" s="728"/>
      <c r="AF2" s="728"/>
      <c r="AG2" s="728"/>
      <c r="AH2" s="751">
        <v>4</v>
      </c>
      <c r="AI2" s="657"/>
      <c r="AJ2" s="657"/>
      <c r="AK2" s="657"/>
      <c r="AL2" s="657"/>
      <c r="AM2" s="657"/>
    </row>
    <row r="3" spans="1:39" s="119" customFormat="1" ht="15.75" customHeight="1" thickBot="1">
      <c r="C3" s="338"/>
      <c r="D3" s="339"/>
      <c r="E3" s="904"/>
      <c r="F3" s="905"/>
      <c r="G3" s="909" t="s">
        <v>14</v>
      </c>
      <c r="H3" s="909"/>
      <c r="I3" s="905"/>
      <c r="J3" s="906" t="s">
        <v>13</v>
      </c>
      <c r="K3" s="919"/>
      <c r="L3" s="919"/>
      <c r="M3" s="919"/>
      <c r="N3" s="920"/>
      <c r="O3" s="904" t="s">
        <v>5</v>
      </c>
      <c r="P3" s="909"/>
      <c r="Q3" s="909"/>
      <c r="R3" s="909"/>
      <c r="S3" s="905"/>
      <c r="T3" s="904" t="s">
        <v>6</v>
      </c>
      <c r="U3" s="909"/>
      <c r="V3" s="909"/>
      <c r="W3" s="909"/>
      <c r="X3" s="905"/>
      <c r="Y3" s="904" t="s">
        <v>7</v>
      </c>
      <c r="Z3" s="909"/>
      <c r="AA3" s="905"/>
      <c r="AB3" s="479" t="s">
        <v>59</v>
      </c>
      <c r="AC3" s="477" t="s">
        <v>20</v>
      </c>
      <c r="AD3" s="904" t="s">
        <v>425</v>
      </c>
      <c r="AE3" s="921"/>
      <c r="AF3" s="921"/>
      <c r="AG3" s="922"/>
      <c r="AH3" s="736"/>
      <c r="AI3" s="736"/>
      <c r="AJ3" s="736"/>
      <c r="AK3" s="736"/>
      <c r="AL3" s="736"/>
      <c r="AM3" s="736"/>
    </row>
    <row r="4" spans="1:39" s="205" customFormat="1" ht="26.25" customHeight="1" thickBot="1">
      <c r="A4" s="191"/>
      <c r="B4" s="191"/>
      <c r="C4" s="192" t="s">
        <v>275</v>
      </c>
      <c r="D4" s="193" t="s">
        <v>276</v>
      </c>
      <c r="E4" s="386" t="s">
        <v>437</v>
      </c>
      <c r="F4" s="209" t="s">
        <v>438</v>
      </c>
      <c r="G4" s="206" t="s">
        <v>8</v>
      </c>
      <c r="H4" s="207" t="s">
        <v>5</v>
      </c>
      <c r="I4" s="208" t="s">
        <v>6</v>
      </c>
      <c r="J4" s="196" t="s">
        <v>2</v>
      </c>
      <c r="K4" s="197" t="s">
        <v>292</v>
      </c>
      <c r="L4" s="573" t="s">
        <v>1</v>
      </c>
      <c r="M4" s="687" t="s">
        <v>401</v>
      </c>
      <c r="N4" s="578" t="s">
        <v>378</v>
      </c>
      <c r="O4" s="574" t="s">
        <v>4</v>
      </c>
      <c r="P4" s="200" t="s">
        <v>435</v>
      </c>
      <c r="Q4" s="332" t="s">
        <v>3</v>
      </c>
      <c r="R4" s="203" t="s">
        <v>43</v>
      </c>
      <c r="S4" s="203" t="s">
        <v>436</v>
      </c>
      <c r="T4" s="322" t="s">
        <v>4</v>
      </c>
      <c r="U4" s="200" t="s">
        <v>435</v>
      </c>
      <c r="V4" s="327" t="s">
        <v>3</v>
      </c>
      <c r="W4" s="236" t="s">
        <v>436</v>
      </c>
      <c r="X4" s="680" t="s">
        <v>43</v>
      </c>
      <c r="Y4" s="322" t="s">
        <v>4</v>
      </c>
      <c r="Z4" s="200"/>
      <c r="AA4" s="327" t="s">
        <v>3</v>
      </c>
      <c r="AB4" s="327" t="s">
        <v>4</v>
      </c>
      <c r="AC4" s="327" t="s">
        <v>293</v>
      </c>
      <c r="AD4" s="733" t="s">
        <v>426</v>
      </c>
      <c r="AE4" s="735" t="s">
        <v>427</v>
      </c>
      <c r="AF4" s="734" t="s">
        <v>429</v>
      </c>
      <c r="AG4" s="327" t="s">
        <v>428</v>
      </c>
      <c r="AH4" s="737"/>
      <c r="AI4" s="737"/>
      <c r="AJ4" s="737"/>
      <c r="AK4" s="737"/>
      <c r="AL4" s="737"/>
      <c r="AM4" s="737"/>
    </row>
    <row r="5" spans="1:39" s="104" customFormat="1" ht="20.25" customHeight="1" thickBot="1">
      <c r="A5" s="90"/>
      <c r="B5" s="90"/>
      <c r="C5" s="916" t="s">
        <v>278</v>
      </c>
      <c r="D5" s="917"/>
      <c r="E5" s="409"/>
      <c r="F5" s="373"/>
      <c r="G5" s="93" t="str">
        <f>IFERROR(IF(J5=0,"",(J5-L5)/L5),0)</f>
        <v/>
      </c>
      <c r="H5" s="93">
        <f>IFERROR(IF(O5=0,0,O5-Q5),0)</f>
        <v>0</v>
      </c>
      <c r="I5" s="94">
        <f>IFERROR(T5-V5,0)</f>
        <v>0</v>
      </c>
      <c r="J5" s="95">
        <v>0</v>
      </c>
      <c r="K5" s="399">
        <v>35125914</v>
      </c>
      <c r="L5" s="400">
        <v>0</v>
      </c>
      <c r="M5" s="335" t="e">
        <f>((M6*J6)+(M7*J7))/J5</f>
        <v>#DIV/0!</v>
      </c>
      <c r="N5" s="335" t="e">
        <f>((N6*J6)+(N7*J7)+(N8*J8)+(N9*J9)+(N10*J10)+(N11*J11)+(N12*J12))/J5</f>
        <v>#DIV/0!</v>
      </c>
      <c r="O5" s="374"/>
      <c r="P5" s="99">
        <v>0</v>
      </c>
      <c r="Q5" s="397"/>
      <c r="R5" s="99">
        <v>0</v>
      </c>
      <c r="S5" s="230">
        <v>0</v>
      </c>
      <c r="T5" s="374">
        <f>IFERROR(SUM(U6:U12)/J5,0)</f>
        <v>0</v>
      </c>
      <c r="U5" s="99">
        <f>SUM(U6:U7)</f>
        <v>0</v>
      </c>
      <c r="V5" s="397" t="e">
        <f>W5/J5</f>
        <v>#DIV/0!</v>
      </c>
      <c r="W5" s="803">
        <f>W6+W7</f>
        <v>0</v>
      </c>
      <c r="X5" s="681">
        <f>W5-U5</f>
        <v>0</v>
      </c>
      <c r="Y5" s="374">
        <f>IFERROR(SUM(Z6:Z12)/J5,0)</f>
        <v>0</v>
      </c>
      <c r="Z5" s="99"/>
      <c r="AA5" s="397">
        <f>IFERROR(AVERAGE(AA6:AA12),0)</f>
        <v>0</v>
      </c>
      <c r="AB5" s="375"/>
      <c r="AC5" s="768"/>
      <c r="AD5" s="335">
        <v>0.60305343511450382</v>
      </c>
      <c r="AE5" s="328">
        <v>0.31297709923664124</v>
      </c>
      <c r="AF5" s="328">
        <v>8.3969465648854963E-2</v>
      </c>
      <c r="AG5" s="754">
        <v>131</v>
      </c>
      <c r="AH5" s="738"/>
      <c r="AI5" s="738"/>
      <c r="AJ5" s="738"/>
      <c r="AK5" s="738"/>
      <c r="AL5" s="738"/>
      <c r="AM5" s="738"/>
    </row>
    <row r="6" spans="1:39" s="119" customFormat="1" ht="15.75" thickBot="1">
      <c r="C6" s="120" t="s">
        <v>162</v>
      </c>
      <c r="D6" s="121" t="s">
        <v>161</v>
      </c>
      <c r="E6" s="777">
        <v>1</v>
      </c>
      <c r="F6" s="777">
        <f>(COUNTA(O17:O35))/(COUNTA(D17:D35))</f>
        <v>0</v>
      </c>
      <c r="G6" s="383" t="str">
        <f>IFERROR(IF(J6=0,"",(J6-L6)/L6),0)</f>
        <v/>
      </c>
      <c r="H6" s="123" t="str">
        <f>IFERROR(IF(O6=0,"",O6-Q6),0)</f>
        <v/>
      </c>
      <c r="I6" s="124" t="str">
        <f>IFERROR(IF(J6=0,"",T6-V6),"")</f>
        <v/>
      </c>
      <c r="J6" s="161"/>
      <c r="K6" s="773">
        <v>17878825</v>
      </c>
      <c r="L6" s="774">
        <v>0</v>
      </c>
      <c r="M6" s="342"/>
      <c r="N6" s="342"/>
      <c r="O6" s="323"/>
      <c r="P6" s="343"/>
      <c r="Q6" s="401"/>
      <c r="R6" s="772">
        <v>0</v>
      </c>
      <c r="S6" s="769"/>
      <c r="T6" s="344"/>
      <c r="U6" s="343"/>
      <c r="V6" s="401"/>
      <c r="W6" s="804">
        <f>V6*J6</f>
        <v>0</v>
      </c>
      <c r="X6" s="681">
        <f>W6-U6</f>
        <v>0</v>
      </c>
      <c r="Y6" s="344"/>
      <c r="Z6" s="343"/>
      <c r="AA6" s="401"/>
      <c r="AB6" s="345">
        <v>0</v>
      </c>
      <c r="AC6" s="765"/>
      <c r="AD6" s="335">
        <v>0.5535714285714286</v>
      </c>
      <c r="AE6" s="328">
        <v>0.3392857142857143</v>
      </c>
      <c r="AF6" s="328">
        <v>0.10714285714285714</v>
      </c>
      <c r="AG6" s="754">
        <v>56</v>
      </c>
      <c r="AH6" s="736"/>
      <c r="AI6" s="736"/>
      <c r="AJ6" s="736"/>
      <c r="AK6" s="736"/>
      <c r="AL6" s="736"/>
      <c r="AM6" s="736"/>
    </row>
    <row r="7" spans="1:39" s="119" customFormat="1" ht="15.75" thickBot="1">
      <c r="C7" s="120" t="s">
        <v>423</v>
      </c>
      <c r="D7" s="121" t="s">
        <v>424</v>
      </c>
      <c r="E7" s="778">
        <v>1</v>
      </c>
      <c r="F7" s="778">
        <v>1</v>
      </c>
      <c r="G7" s="383" t="str">
        <f>IFERROR(IF(J7=0,"",(J7-L7)/L7),0)</f>
        <v/>
      </c>
      <c r="H7" s="123" t="str">
        <f>IFERROR(IF(O7=0,"",O7-Q7),0)</f>
        <v/>
      </c>
      <c r="I7" s="124" t="str">
        <f>IFERROR(IF(J7=0,"",T7-V7),"")</f>
        <v/>
      </c>
      <c r="J7" s="161"/>
      <c r="K7" s="793">
        <v>17247089</v>
      </c>
      <c r="L7" s="794">
        <v>0</v>
      </c>
      <c r="M7" s="335"/>
      <c r="N7" s="335"/>
      <c r="O7" s="323"/>
      <c r="P7" s="164"/>
      <c r="Q7" s="795"/>
      <c r="R7" s="796">
        <v>0</v>
      </c>
      <c r="S7" s="797"/>
      <c r="T7" s="323"/>
      <c r="U7" s="164"/>
      <c r="V7" s="795"/>
      <c r="W7" s="800">
        <f>V7*J7</f>
        <v>0</v>
      </c>
      <c r="X7" s="681">
        <f>W7-U7</f>
        <v>0</v>
      </c>
      <c r="Y7" s="323"/>
      <c r="Z7" s="164"/>
      <c r="AA7" s="795"/>
      <c r="AB7" s="328">
        <v>1.7817371937639197E-2</v>
      </c>
      <c r="AC7" s="765">
        <v>1878.7260579064589</v>
      </c>
      <c r="AD7" s="335">
        <v>0.64</v>
      </c>
      <c r="AE7" s="328">
        <v>0.29333333333333333</v>
      </c>
      <c r="AF7" s="328">
        <v>6.6666666666666666E-2</v>
      </c>
      <c r="AG7" s="754">
        <v>75</v>
      </c>
      <c r="AH7" s="736"/>
      <c r="AI7" s="736"/>
      <c r="AJ7" s="736"/>
      <c r="AK7" s="736"/>
      <c r="AL7" s="736"/>
      <c r="AM7" s="736"/>
    </row>
    <row r="8" spans="1:39" s="119" customFormat="1" ht="15.75" thickBot="1">
      <c r="C8" s="120"/>
      <c r="D8" s="121"/>
      <c r="E8" s="779"/>
      <c r="F8" s="8"/>
      <c r="G8" s="383" t="str">
        <f t="shared" ref="G8:G12" si="0">IFERROR(IF(J8=0,"",(J8-L8)/L8),0)</f>
        <v/>
      </c>
      <c r="H8" s="123" t="str">
        <f t="shared" ref="H8:H12" si="1">IFERROR(IF(O8=0,"",O8-Q8),0)</f>
        <v/>
      </c>
      <c r="I8" s="124" t="str">
        <f t="shared" ref="I8:I12" si="2">IFERROR(IF(J8=0,"",T8-V8),"")</f>
        <v/>
      </c>
      <c r="J8" s="394"/>
      <c r="K8" s="395"/>
      <c r="L8" s="396"/>
      <c r="M8" s="368"/>
      <c r="N8" s="576"/>
      <c r="O8" s="369"/>
      <c r="P8" s="129"/>
      <c r="Q8" s="398"/>
      <c r="R8" s="371">
        <f>(Q8*J8)-(O8*J8)</f>
        <v>0</v>
      </c>
      <c r="S8" s="129"/>
      <c r="T8" s="369"/>
      <c r="U8" s="129"/>
      <c r="V8" s="398"/>
      <c r="W8" s="805" t="str">
        <f>IF(J8="","",V8*J8)</f>
        <v/>
      </c>
      <c r="X8" s="682" t="str">
        <f>IFERROR(W8-U8,"")</f>
        <v/>
      </c>
      <c r="Y8" s="369"/>
      <c r="Z8" s="129"/>
      <c r="AA8" s="398"/>
      <c r="AB8" s="370">
        <v>0</v>
      </c>
      <c r="AC8" s="766"/>
      <c r="AD8" s="730"/>
      <c r="AE8" s="731"/>
      <c r="AF8" s="731"/>
      <c r="AG8" s="755"/>
      <c r="AH8" s="736"/>
      <c r="AI8" s="736"/>
      <c r="AJ8" s="736"/>
      <c r="AK8" s="736"/>
      <c r="AL8" s="736"/>
      <c r="AM8" s="736"/>
    </row>
    <row r="9" spans="1:39" s="119" customFormat="1" hidden="1">
      <c r="C9" s="120"/>
      <c r="D9" s="121"/>
      <c r="E9" s="385"/>
      <c r="F9" s="8"/>
      <c r="G9" s="383" t="str">
        <f t="shared" si="0"/>
        <v/>
      </c>
      <c r="H9" s="123" t="str">
        <f t="shared" si="1"/>
        <v/>
      </c>
      <c r="I9" s="124" t="str">
        <f t="shared" si="2"/>
        <v/>
      </c>
      <c r="J9" s="394"/>
      <c r="K9" s="395"/>
      <c r="L9" s="396"/>
      <c r="M9" s="368"/>
      <c r="N9" s="576"/>
      <c r="O9" s="369"/>
      <c r="P9" s="129"/>
      <c r="Q9" s="398"/>
      <c r="R9" s="371">
        <f>(Q9*J9)-(O9*J9)</f>
        <v>0</v>
      </c>
      <c r="S9" s="129"/>
      <c r="T9" s="369"/>
      <c r="U9" s="129"/>
      <c r="V9" s="398"/>
      <c r="W9" s="372" t="str">
        <f>IF(J9="","",V9*J9)</f>
        <v/>
      </c>
      <c r="X9" s="682" t="str">
        <f>IFERROR(W9-U9,"")</f>
        <v/>
      </c>
      <c r="Y9" s="369"/>
      <c r="Z9" s="129"/>
      <c r="AA9" s="398"/>
      <c r="AB9" s="370">
        <v>0</v>
      </c>
      <c r="AC9" s="188"/>
      <c r="AD9" s="730"/>
      <c r="AE9" s="731"/>
      <c r="AF9" s="731"/>
      <c r="AG9" s="732"/>
      <c r="AH9" s="736"/>
      <c r="AI9" s="736"/>
      <c r="AJ9" s="736"/>
      <c r="AK9" s="736"/>
      <c r="AL9" s="736"/>
      <c r="AM9" s="736"/>
    </row>
    <row r="10" spans="1:39" s="119" customFormat="1" hidden="1">
      <c r="C10" s="120"/>
      <c r="D10" s="121"/>
      <c r="E10" s="385"/>
      <c r="F10" s="8"/>
      <c r="G10" s="383" t="str">
        <f t="shared" si="0"/>
        <v/>
      </c>
      <c r="H10" s="123" t="str">
        <f t="shared" si="1"/>
        <v/>
      </c>
      <c r="I10" s="124" t="str">
        <f t="shared" si="2"/>
        <v/>
      </c>
      <c r="J10" s="394"/>
      <c r="K10" s="395"/>
      <c r="L10" s="396"/>
      <c r="M10" s="368"/>
      <c r="N10" s="576"/>
      <c r="O10" s="369"/>
      <c r="P10" s="129"/>
      <c r="Q10" s="398"/>
      <c r="R10" s="371">
        <f>(Q10*J10)-(O10*J10)</f>
        <v>0</v>
      </c>
      <c r="S10" s="129"/>
      <c r="T10" s="369"/>
      <c r="U10" s="129"/>
      <c r="V10" s="398"/>
      <c r="W10" s="372" t="str">
        <f>IF(J10="","",V10*J10)</f>
        <v/>
      </c>
      <c r="X10" s="682" t="str">
        <f>IFERROR(W10-U10,"")</f>
        <v/>
      </c>
      <c r="Y10" s="369"/>
      <c r="Z10" s="129"/>
      <c r="AA10" s="398"/>
      <c r="AB10" s="370">
        <v>0</v>
      </c>
      <c r="AC10" s="188"/>
      <c r="AD10" s="730"/>
      <c r="AE10" s="731"/>
      <c r="AF10" s="731"/>
      <c r="AG10" s="732"/>
      <c r="AH10" s="736"/>
      <c r="AI10" s="736"/>
      <c r="AJ10" s="736"/>
      <c r="AK10" s="736"/>
      <c r="AL10" s="736"/>
      <c r="AM10" s="736"/>
    </row>
    <row r="11" spans="1:39" s="119" customFormat="1" hidden="1">
      <c r="C11" s="120"/>
      <c r="D11" s="121"/>
      <c r="E11" s="385"/>
      <c r="F11" s="8"/>
      <c r="G11" s="383" t="str">
        <f t="shared" si="0"/>
        <v/>
      </c>
      <c r="H11" s="123" t="str">
        <f t="shared" si="1"/>
        <v/>
      </c>
      <c r="I11" s="124" t="str">
        <f t="shared" si="2"/>
        <v/>
      </c>
      <c r="J11" s="394"/>
      <c r="K11" s="395"/>
      <c r="L11" s="396"/>
      <c r="M11" s="368"/>
      <c r="N11" s="576"/>
      <c r="O11" s="369"/>
      <c r="P11" s="129"/>
      <c r="Q11" s="398"/>
      <c r="R11" s="371">
        <f>(Q11*J11)-(O11*J11)</f>
        <v>0</v>
      </c>
      <c r="S11" s="129"/>
      <c r="T11" s="369"/>
      <c r="U11" s="129"/>
      <c r="V11" s="398"/>
      <c r="W11" s="372" t="str">
        <f>IF(J11="","",V11*J11)</f>
        <v/>
      </c>
      <c r="X11" s="682" t="str">
        <f>IFERROR(W11-U11,"")</f>
        <v/>
      </c>
      <c r="Y11" s="369"/>
      <c r="Z11" s="129"/>
      <c r="AA11" s="398"/>
      <c r="AB11" s="370">
        <v>0</v>
      </c>
      <c r="AC11" s="188"/>
      <c r="AD11" s="730"/>
      <c r="AE11" s="731"/>
      <c r="AF11" s="731"/>
      <c r="AG11" s="732"/>
      <c r="AH11" s="736"/>
      <c r="AI11" s="736"/>
      <c r="AJ11" s="736"/>
      <c r="AK11" s="736"/>
      <c r="AL11" s="736"/>
      <c r="AM11" s="736"/>
    </row>
    <row r="12" spans="1:39" s="119" customFormat="1" ht="15.75" hidden="1" thickBot="1">
      <c r="C12" s="120"/>
      <c r="D12" s="121"/>
      <c r="E12" s="385"/>
      <c r="F12" s="8"/>
      <c r="G12" s="383" t="str">
        <f t="shared" si="0"/>
        <v/>
      </c>
      <c r="H12" s="123" t="str">
        <f t="shared" si="1"/>
        <v/>
      </c>
      <c r="I12" s="124" t="str">
        <f t="shared" si="2"/>
        <v/>
      </c>
      <c r="J12" s="394"/>
      <c r="K12" s="395"/>
      <c r="L12" s="396"/>
      <c r="M12" s="368"/>
      <c r="N12" s="576"/>
      <c r="O12" s="369"/>
      <c r="P12" s="129"/>
      <c r="Q12" s="398"/>
      <c r="R12" s="371">
        <f>(Q12*J12)-(O12*J12)</f>
        <v>0</v>
      </c>
      <c r="S12" s="129"/>
      <c r="T12" s="369"/>
      <c r="U12" s="129"/>
      <c r="V12" s="398"/>
      <c r="W12" s="372" t="str">
        <f>IF(J12="","",V12*J12)</f>
        <v/>
      </c>
      <c r="X12" s="683" t="str">
        <f>IFERROR(W12-U12,"")</f>
        <v/>
      </c>
      <c r="Y12" s="369"/>
      <c r="Z12" s="129"/>
      <c r="AA12" s="398"/>
      <c r="AB12" s="370">
        <v>0</v>
      </c>
      <c r="AC12" s="188"/>
      <c r="AD12" s="730"/>
      <c r="AE12" s="731"/>
      <c r="AF12" s="731"/>
      <c r="AG12" s="732"/>
      <c r="AH12" s="736"/>
      <c r="AI12" s="736"/>
      <c r="AJ12" s="736"/>
      <c r="AK12" s="736"/>
      <c r="AL12" s="736"/>
      <c r="AM12" s="736"/>
    </row>
    <row r="13" spans="1:39" ht="19.5" thickBot="1">
      <c r="A13" s="360"/>
      <c r="B13" s="361"/>
      <c r="C13" s="361"/>
      <c r="D13" s="361"/>
      <c r="E13" s="361"/>
      <c r="F13" s="361"/>
      <c r="G13" s="918" t="s">
        <v>277</v>
      </c>
      <c r="H13" s="918"/>
      <c r="I13" s="918"/>
      <c r="J13" s="918"/>
      <c r="K13" s="918"/>
      <c r="L13" s="918"/>
      <c r="M13" s="918"/>
      <c r="N13" s="918"/>
      <c r="O13" s="918"/>
      <c r="P13" s="918"/>
      <c r="Q13" s="918"/>
      <c r="R13" s="918"/>
      <c r="S13" s="918"/>
      <c r="T13" s="918"/>
      <c r="U13" s="918"/>
      <c r="V13" s="918"/>
      <c r="W13" s="918"/>
      <c r="X13" s="918"/>
      <c r="Y13" s="918"/>
      <c r="Z13" s="918"/>
      <c r="AA13" s="918"/>
      <c r="AB13" s="387"/>
      <c r="AC13" s="393"/>
      <c r="AD13" s="478"/>
      <c r="AE13" s="729"/>
      <c r="AF13" s="729"/>
      <c r="AG13" s="729"/>
      <c r="AH13" s="657"/>
      <c r="AI13" s="657"/>
      <c r="AJ13" s="657"/>
      <c r="AK13" s="657"/>
      <c r="AL13" s="657"/>
      <c r="AM13" s="657"/>
    </row>
    <row r="14" spans="1:39" s="119" customFormat="1" ht="15.75" thickBot="1">
      <c r="A14" s="362"/>
      <c r="B14" s="363"/>
      <c r="C14" s="904"/>
      <c r="D14" s="905"/>
      <c r="E14" s="904"/>
      <c r="F14" s="905"/>
      <c r="G14" s="909" t="s">
        <v>14</v>
      </c>
      <c r="H14" s="909"/>
      <c r="I14" s="905"/>
      <c r="J14" s="906" t="s">
        <v>13</v>
      </c>
      <c r="K14" s="919"/>
      <c r="L14" s="919"/>
      <c r="M14" s="919"/>
      <c r="N14" s="920"/>
      <c r="O14" s="904" t="s">
        <v>5</v>
      </c>
      <c r="P14" s="909"/>
      <c r="Q14" s="909"/>
      <c r="R14" s="909"/>
      <c r="S14" s="340"/>
      <c r="T14" s="904" t="s">
        <v>6</v>
      </c>
      <c r="U14" s="909"/>
      <c r="V14" s="909"/>
      <c r="W14" s="909"/>
      <c r="X14" s="905"/>
      <c r="Y14" s="904" t="s">
        <v>7</v>
      </c>
      <c r="Z14" s="909"/>
      <c r="AA14" s="905"/>
      <c r="AB14" s="479" t="s">
        <v>59</v>
      </c>
      <c r="AC14" s="477" t="s">
        <v>20</v>
      </c>
      <c r="AD14" s="904" t="s">
        <v>425</v>
      </c>
      <c r="AE14" s="921"/>
      <c r="AF14" s="921"/>
      <c r="AG14" s="922"/>
      <c r="AH14" s="736"/>
      <c r="AI14" s="736"/>
      <c r="AJ14" s="736"/>
      <c r="AK14" s="736"/>
      <c r="AL14" s="736"/>
      <c r="AM14" s="736"/>
    </row>
    <row r="15" spans="1:39" s="205" customFormat="1" ht="26.25" customHeight="1" thickBot="1">
      <c r="A15" s="364"/>
      <c r="B15" s="365"/>
      <c r="C15" s="914"/>
      <c r="D15" s="915"/>
      <c r="E15" s="194"/>
      <c r="F15" s="195"/>
      <c r="G15" s="206" t="s">
        <v>8</v>
      </c>
      <c r="H15" s="207" t="s">
        <v>5</v>
      </c>
      <c r="I15" s="208" t="s">
        <v>6</v>
      </c>
      <c r="J15" s="196" t="s">
        <v>2</v>
      </c>
      <c r="K15" s="197" t="s">
        <v>292</v>
      </c>
      <c r="L15" s="573" t="s">
        <v>1</v>
      </c>
      <c r="M15" s="575" t="s">
        <v>430</v>
      </c>
      <c r="N15" s="578" t="s">
        <v>377</v>
      </c>
      <c r="O15" s="322" t="s">
        <v>4</v>
      </c>
      <c r="P15" s="200" t="s">
        <v>435</v>
      </c>
      <c r="Q15" s="332" t="s">
        <v>3</v>
      </c>
      <c r="R15" s="203" t="s">
        <v>43</v>
      </c>
      <c r="S15" s="203" t="s">
        <v>436</v>
      </c>
      <c r="T15" s="322" t="s">
        <v>4</v>
      </c>
      <c r="U15" s="200" t="s">
        <v>435</v>
      </c>
      <c r="V15" s="327" t="s">
        <v>3</v>
      </c>
      <c r="W15" s="236" t="s">
        <v>436</v>
      </c>
      <c r="X15" s="686" t="s">
        <v>43</v>
      </c>
      <c r="Y15" s="322" t="s">
        <v>4</v>
      </c>
      <c r="Z15" s="200"/>
      <c r="AA15" s="327" t="s">
        <v>3</v>
      </c>
      <c r="AB15" s="327" t="s">
        <v>4</v>
      </c>
      <c r="AC15" s="327" t="s">
        <v>293</v>
      </c>
      <c r="AD15" s="733" t="s">
        <v>426</v>
      </c>
      <c r="AE15" s="735" t="s">
        <v>427</v>
      </c>
      <c r="AF15" s="734" t="s">
        <v>429</v>
      </c>
      <c r="AG15" s="327" t="s">
        <v>428</v>
      </c>
      <c r="AH15" s="737"/>
      <c r="AI15" s="737"/>
      <c r="AJ15" s="737"/>
      <c r="AK15" s="737"/>
      <c r="AL15" s="737"/>
      <c r="AM15" s="737"/>
    </row>
    <row r="16" spans="1:39" s="167" customFormat="1" ht="33" customHeight="1" thickBot="1">
      <c r="A16" s="366"/>
      <c r="B16" s="367"/>
      <c r="C16" s="912">
        <v>1</v>
      </c>
      <c r="D16" s="913"/>
      <c r="E16" s="156"/>
      <c r="F16" s="799"/>
      <c r="G16" s="92" t="str">
        <f t="shared" ref="G16:G28" si="3">IFERROR(IF(J16=0,"",(J16-L16)/L16),0)</f>
        <v/>
      </c>
      <c r="H16" s="93">
        <f>IFERROR(IF(O16=0,0,O16-Q16),0)</f>
        <v>0</v>
      </c>
      <c r="I16" s="94">
        <f>IFERROR(T16-V16,0)</f>
        <v>0</v>
      </c>
      <c r="J16" s="161"/>
      <c r="K16" s="793">
        <v>17878825</v>
      </c>
      <c r="L16" s="794">
        <v>0</v>
      </c>
      <c r="M16" s="335"/>
      <c r="N16" s="335"/>
      <c r="O16" s="323"/>
      <c r="P16" s="164"/>
      <c r="Q16" s="795"/>
      <c r="R16" s="796">
        <v>0</v>
      </c>
      <c r="S16" s="797"/>
      <c r="T16" s="323"/>
      <c r="U16" s="164"/>
      <c r="V16" s="795"/>
      <c r="W16" s="800">
        <v>0</v>
      </c>
      <c r="X16" s="798"/>
      <c r="Y16" s="323"/>
      <c r="Z16" s="164"/>
      <c r="AA16" s="795"/>
      <c r="AB16" s="328">
        <v>0</v>
      </c>
      <c r="AC16" s="765"/>
      <c r="AD16" s="335">
        <v>0.5535714285714286</v>
      </c>
      <c r="AE16" s="328">
        <v>0.3392857142857143</v>
      </c>
      <c r="AF16" s="328">
        <v>0.10714285714285714</v>
      </c>
      <c r="AG16" s="754">
        <v>56</v>
      </c>
      <c r="AH16" s="739"/>
      <c r="AI16" s="739"/>
      <c r="AJ16" s="739"/>
      <c r="AK16" s="739"/>
      <c r="AL16" s="739"/>
      <c r="AM16" s="739"/>
    </row>
    <row r="17" spans="1:39" s="179" customFormat="1" ht="12" customHeight="1">
      <c r="A17" s="346"/>
      <c r="B17" s="347"/>
      <c r="C17" s="169" t="s">
        <v>445</v>
      </c>
      <c r="D17" s="170" t="s">
        <v>446</v>
      </c>
      <c r="E17" s="182"/>
      <c r="F17" s="183"/>
      <c r="G17" s="383">
        <f t="shared" si="3"/>
        <v>0</v>
      </c>
      <c r="H17" s="123" t="str">
        <f t="shared" ref="H17:H28" si="4">IFERROR(IF(O17=0,"",O17-Q17),0)</f>
        <v/>
      </c>
      <c r="I17" s="124">
        <f t="shared" ref="I17:I28" si="5">IFERROR(IF(J17=0,"",T17-V17),"")</f>
        <v>-9.9629920883860697E-3</v>
      </c>
      <c r="J17" s="406">
        <v>2666970</v>
      </c>
      <c r="K17" s="404">
        <v>2867977</v>
      </c>
      <c r="L17" s="775"/>
      <c r="M17" s="337">
        <v>0.24597726980280141</v>
      </c>
      <c r="N17" s="577">
        <v>0.24597726980280141</v>
      </c>
      <c r="O17" s="325"/>
      <c r="P17" s="189">
        <v>0</v>
      </c>
      <c r="Q17" s="402"/>
      <c r="R17" s="770">
        <v>0</v>
      </c>
      <c r="S17" s="189">
        <v>0</v>
      </c>
      <c r="T17" s="325">
        <v>-9.9629920883860697E-3</v>
      </c>
      <c r="U17" s="189">
        <v>-26571</v>
      </c>
      <c r="V17" s="402"/>
      <c r="W17" s="801">
        <v>0</v>
      </c>
      <c r="X17" s="684">
        <v>26571</v>
      </c>
      <c r="Y17" s="325"/>
      <c r="Z17" s="189"/>
      <c r="AA17" s="402"/>
      <c r="AB17" s="330">
        <v>0</v>
      </c>
      <c r="AC17" s="766"/>
      <c r="AD17" s="808">
        <v>0.77777777777777779</v>
      </c>
      <c r="AE17" s="806">
        <v>0.22222222222222221</v>
      </c>
      <c r="AF17" s="806">
        <v>0</v>
      </c>
      <c r="AG17" s="809">
        <v>9</v>
      </c>
      <c r="AH17" s="740"/>
      <c r="AI17" s="741"/>
      <c r="AJ17" s="661"/>
      <c r="AK17" s="661"/>
      <c r="AL17" s="661"/>
      <c r="AM17" s="661"/>
    </row>
    <row r="18" spans="1:39" s="179" customFormat="1" ht="12" customHeight="1">
      <c r="A18" s="348"/>
      <c r="B18" s="349"/>
      <c r="C18" s="180" t="s">
        <v>447</v>
      </c>
      <c r="D18" s="181" t="s">
        <v>448</v>
      </c>
      <c r="E18" s="182"/>
      <c r="F18" s="183"/>
      <c r="G18" s="383">
        <f t="shared" si="3"/>
        <v>0</v>
      </c>
      <c r="H18" s="123" t="str">
        <f t="shared" si="4"/>
        <v/>
      </c>
      <c r="I18" s="124">
        <f t="shared" si="5"/>
        <v>-1.4125995740948936E-2</v>
      </c>
      <c r="J18" s="406">
        <v>1763274</v>
      </c>
      <c r="K18" s="404">
        <v>2380812</v>
      </c>
      <c r="L18" s="775"/>
      <c r="M18" s="337">
        <v>0.23267002135383952</v>
      </c>
      <c r="N18" s="577">
        <v>0.23267002135383952</v>
      </c>
      <c r="O18" s="325"/>
      <c r="P18" s="189">
        <v>0</v>
      </c>
      <c r="Q18" s="402"/>
      <c r="R18" s="770">
        <v>0</v>
      </c>
      <c r="S18" s="189">
        <v>0</v>
      </c>
      <c r="T18" s="325">
        <v>-1.4125995740948936E-2</v>
      </c>
      <c r="U18" s="189">
        <v>-24908</v>
      </c>
      <c r="V18" s="402"/>
      <c r="W18" s="801">
        <v>0</v>
      </c>
      <c r="X18" s="684">
        <v>24908</v>
      </c>
      <c r="Y18" s="325"/>
      <c r="Z18" s="189"/>
      <c r="AA18" s="402"/>
      <c r="AB18" s="330">
        <v>0</v>
      </c>
      <c r="AC18" s="766"/>
      <c r="AD18" s="730">
        <v>0.6</v>
      </c>
      <c r="AE18" s="731">
        <v>0.2</v>
      </c>
      <c r="AF18" s="731">
        <v>0.2</v>
      </c>
      <c r="AG18" s="755">
        <v>10</v>
      </c>
      <c r="AH18" s="741"/>
      <c r="AI18" s="741"/>
      <c r="AJ18" s="661"/>
      <c r="AK18" s="661"/>
      <c r="AL18" s="661"/>
      <c r="AM18" s="661"/>
    </row>
    <row r="19" spans="1:39" s="179" customFormat="1" ht="12" customHeight="1">
      <c r="A19" s="348"/>
      <c r="B19" s="349"/>
      <c r="C19" s="180" t="s">
        <v>449</v>
      </c>
      <c r="D19" s="181" t="s">
        <v>450</v>
      </c>
      <c r="E19" s="182"/>
      <c r="F19" s="183"/>
      <c r="G19" s="383">
        <f t="shared" si="3"/>
        <v>0</v>
      </c>
      <c r="H19" s="123" t="str">
        <f t="shared" si="4"/>
        <v/>
      </c>
      <c r="I19" s="124">
        <f t="shared" si="5"/>
        <v>-2.278545960719771E-2</v>
      </c>
      <c r="J19" s="406">
        <v>1338573</v>
      </c>
      <c r="K19" s="404">
        <v>1559644</v>
      </c>
      <c r="L19" s="775"/>
      <c r="M19" s="337">
        <v>0.20760167671662411</v>
      </c>
      <c r="N19" s="577">
        <v>0.20760167671662411</v>
      </c>
      <c r="O19" s="325"/>
      <c r="P19" s="189">
        <v>0</v>
      </c>
      <c r="Q19" s="402"/>
      <c r="R19" s="770">
        <v>0</v>
      </c>
      <c r="S19" s="189">
        <v>0</v>
      </c>
      <c r="T19" s="325">
        <v>-2.278545960719771E-2</v>
      </c>
      <c r="U19" s="189">
        <v>-30500</v>
      </c>
      <c r="V19" s="402"/>
      <c r="W19" s="801">
        <v>0</v>
      </c>
      <c r="X19" s="684">
        <v>30500</v>
      </c>
      <c r="Y19" s="325"/>
      <c r="Z19" s="189"/>
      <c r="AA19" s="402"/>
      <c r="AB19" s="330">
        <v>0</v>
      </c>
      <c r="AC19" s="766"/>
      <c r="AD19" s="730">
        <v>0.5</v>
      </c>
      <c r="AE19" s="731">
        <v>0.25</v>
      </c>
      <c r="AF19" s="731">
        <v>0.25</v>
      </c>
      <c r="AG19" s="755">
        <v>4</v>
      </c>
      <c r="AH19" s="742"/>
      <c r="AI19" s="741"/>
      <c r="AJ19" s="661"/>
      <c r="AK19" s="661"/>
      <c r="AL19" s="661"/>
      <c r="AM19" s="661"/>
    </row>
    <row r="20" spans="1:39" s="179" customFormat="1" ht="12" customHeight="1">
      <c r="A20" s="348"/>
      <c r="B20" s="349"/>
      <c r="C20" s="180" t="s">
        <v>451</v>
      </c>
      <c r="D20" s="181" t="s">
        <v>452</v>
      </c>
      <c r="E20" s="182"/>
      <c r="F20" s="183"/>
      <c r="G20" s="383">
        <f t="shared" si="3"/>
        <v>0</v>
      </c>
      <c r="H20" s="123" t="str">
        <f t="shared" si="4"/>
        <v/>
      </c>
      <c r="I20" s="124">
        <f t="shared" si="5"/>
        <v>-2.9056732898595467E-2</v>
      </c>
      <c r="J20" s="406">
        <v>934379</v>
      </c>
      <c r="K20" s="404">
        <v>1162463</v>
      </c>
      <c r="L20" s="775"/>
      <c r="M20" s="337">
        <v>0.22140480385518599</v>
      </c>
      <c r="N20" s="577">
        <v>0.22140480385518599</v>
      </c>
      <c r="O20" s="325"/>
      <c r="P20" s="189">
        <v>0</v>
      </c>
      <c r="Q20" s="402"/>
      <c r="R20" s="770">
        <v>0</v>
      </c>
      <c r="S20" s="189">
        <v>0</v>
      </c>
      <c r="T20" s="325">
        <v>-2.9056732898595467E-2</v>
      </c>
      <c r="U20" s="189">
        <v>-27150</v>
      </c>
      <c r="V20" s="402"/>
      <c r="W20" s="801">
        <v>0</v>
      </c>
      <c r="X20" s="684">
        <v>27150</v>
      </c>
      <c r="Y20" s="325"/>
      <c r="Z20" s="189"/>
      <c r="AA20" s="402"/>
      <c r="AB20" s="330">
        <v>0</v>
      </c>
      <c r="AC20" s="766"/>
      <c r="AD20" s="730">
        <v>0.66666666666666663</v>
      </c>
      <c r="AE20" s="731">
        <v>0.16666666666666666</v>
      </c>
      <c r="AF20" s="731">
        <v>0.16666666666666666</v>
      </c>
      <c r="AG20" s="755">
        <v>6</v>
      </c>
      <c r="AH20" s="740"/>
      <c r="AI20" s="741"/>
      <c r="AJ20" s="661"/>
      <c r="AK20" s="661"/>
      <c r="AL20" s="661"/>
      <c r="AM20" s="661"/>
    </row>
    <row r="21" spans="1:39" s="179" customFormat="1" ht="12" customHeight="1">
      <c r="A21" s="348"/>
      <c r="B21" s="349"/>
      <c r="C21" s="180" t="s">
        <v>453</v>
      </c>
      <c r="D21" s="181" t="s">
        <v>454</v>
      </c>
      <c r="E21" s="182"/>
      <c r="F21" s="183"/>
      <c r="G21" s="383">
        <f t="shared" si="3"/>
        <v>0</v>
      </c>
      <c r="H21" s="123" t="str">
        <f t="shared" si="4"/>
        <v/>
      </c>
      <c r="I21" s="124">
        <f t="shared" si="5"/>
        <v>-2.5399030927692131E-2</v>
      </c>
      <c r="J21" s="406">
        <v>1031063</v>
      </c>
      <c r="K21" s="404">
        <v>1299151</v>
      </c>
      <c r="L21" s="775"/>
      <c r="M21" s="337">
        <v>0.17525699125587574</v>
      </c>
      <c r="N21" s="577">
        <v>0.17525699125587574</v>
      </c>
      <c r="O21" s="325"/>
      <c r="P21" s="189">
        <v>0</v>
      </c>
      <c r="Q21" s="402"/>
      <c r="R21" s="770">
        <v>0</v>
      </c>
      <c r="S21" s="189">
        <v>0</v>
      </c>
      <c r="T21" s="325">
        <v>-2.5399030927692131E-2</v>
      </c>
      <c r="U21" s="189">
        <v>-26188</v>
      </c>
      <c r="V21" s="402"/>
      <c r="W21" s="801">
        <v>0</v>
      </c>
      <c r="X21" s="684">
        <v>26188</v>
      </c>
      <c r="Y21" s="325"/>
      <c r="Z21" s="189"/>
      <c r="AA21" s="402"/>
      <c r="AB21" s="330">
        <v>0</v>
      </c>
      <c r="AC21" s="766"/>
      <c r="AD21" s="730">
        <v>0.33333333333333331</v>
      </c>
      <c r="AE21" s="731">
        <v>0.33333333333333331</v>
      </c>
      <c r="AF21" s="731">
        <v>0.33333333333333331</v>
      </c>
      <c r="AG21" s="755">
        <v>3</v>
      </c>
      <c r="AH21" s="741"/>
      <c r="AI21" s="741"/>
      <c r="AJ21" s="661"/>
      <c r="AK21" s="661"/>
      <c r="AL21" s="661"/>
      <c r="AM21" s="661"/>
    </row>
    <row r="22" spans="1:39" s="179" customFormat="1" ht="12" customHeight="1">
      <c r="A22" s="348"/>
      <c r="B22" s="349"/>
      <c r="C22" s="180" t="s">
        <v>455</v>
      </c>
      <c r="D22" s="181" t="s">
        <v>456</v>
      </c>
      <c r="E22" s="182"/>
      <c r="F22" s="183"/>
      <c r="G22" s="383">
        <f t="shared" si="3"/>
        <v>0</v>
      </c>
      <c r="H22" s="123" t="str">
        <f t="shared" si="4"/>
        <v/>
      </c>
      <c r="I22" s="124">
        <f t="shared" si="5"/>
        <v>-1.8388849563741653E-2</v>
      </c>
      <c r="J22" s="406">
        <v>1135362</v>
      </c>
      <c r="K22" s="404">
        <v>1291414</v>
      </c>
      <c r="L22" s="775"/>
      <c r="M22" s="337">
        <v>0.19825923291272671</v>
      </c>
      <c r="N22" s="577">
        <v>0.19825923291272671</v>
      </c>
      <c r="O22" s="325"/>
      <c r="P22" s="189">
        <v>0</v>
      </c>
      <c r="Q22" s="402"/>
      <c r="R22" s="770">
        <v>0</v>
      </c>
      <c r="S22" s="189">
        <v>0</v>
      </c>
      <c r="T22" s="325">
        <v>-1.8388849563741653E-2</v>
      </c>
      <c r="U22" s="189">
        <v>-20878</v>
      </c>
      <c r="V22" s="402"/>
      <c r="W22" s="801">
        <v>0</v>
      </c>
      <c r="X22" s="684">
        <v>20878</v>
      </c>
      <c r="Y22" s="325"/>
      <c r="Z22" s="189"/>
      <c r="AA22" s="402"/>
      <c r="AB22" s="330">
        <v>0</v>
      </c>
      <c r="AC22" s="766"/>
      <c r="AD22" s="730">
        <v>0</v>
      </c>
      <c r="AE22" s="731">
        <v>1</v>
      </c>
      <c r="AF22" s="731">
        <v>0</v>
      </c>
      <c r="AG22" s="755">
        <v>2</v>
      </c>
      <c r="AH22" s="741"/>
      <c r="AI22" s="741"/>
      <c r="AJ22" s="661"/>
      <c r="AK22" s="661"/>
      <c r="AL22" s="661"/>
      <c r="AM22" s="661"/>
    </row>
    <row r="23" spans="1:39" s="179" customFormat="1" ht="12" customHeight="1">
      <c r="A23" s="348"/>
      <c r="B23" s="349"/>
      <c r="C23" s="180" t="s">
        <v>457</v>
      </c>
      <c r="D23" s="181" t="s">
        <v>458</v>
      </c>
      <c r="E23" s="182"/>
      <c r="F23" s="183"/>
      <c r="G23" s="383">
        <f t="shared" si="3"/>
        <v>0</v>
      </c>
      <c r="H23" s="123" t="str">
        <f t="shared" si="4"/>
        <v/>
      </c>
      <c r="I23" s="124">
        <f t="shared" si="5"/>
        <v>-4.1431606007373202E-2</v>
      </c>
      <c r="J23" s="406">
        <v>446157</v>
      </c>
      <c r="K23" s="404">
        <v>794634</v>
      </c>
      <c r="L23" s="775"/>
      <c r="M23" s="337">
        <v>0.14639241151969468</v>
      </c>
      <c r="N23" s="577">
        <v>0.14639241151969468</v>
      </c>
      <c r="O23" s="325"/>
      <c r="P23" s="189">
        <v>0</v>
      </c>
      <c r="Q23" s="402"/>
      <c r="R23" s="770">
        <v>0</v>
      </c>
      <c r="S23" s="189">
        <v>0</v>
      </c>
      <c r="T23" s="325">
        <v>-4.1431606007373202E-2</v>
      </c>
      <c r="U23" s="189">
        <v>-18485</v>
      </c>
      <c r="V23" s="402"/>
      <c r="W23" s="801">
        <v>0</v>
      </c>
      <c r="X23" s="684">
        <v>18485</v>
      </c>
      <c r="Y23" s="325"/>
      <c r="Z23" s="189"/>
      <c r="AA23" s="402"/>
      <c r="AB23" s="330">
        <v>0</v>
      </c>
      <c r="AC23" s="766"/>
      <c r="AD23" s="730">
        <v>0.7142857142857143</v>
      </c>
      <c r="AE23" s="731">
        <v>0.2857142857142857</v>
      </c>
      <c r="AF23" s="731">
        <v>0</v>
      </c>
      <c r="AG23" s="755">
        <v>7</v>
      </c>
      <c r="AH23" s="741"/>
      <c r="AI23" s="741"/>
      <c r="AJ23" s="661"/>
      <c r="AK23" s="661"/>
      <c r="AL23" s="661"/>
      <c r="AM23" s="661"/>
    </row>
    <row r="24" spans="1:39" s="179" customFormat="1" ht="12" customHeight="1">
      <c r="A24" s="348"/>
      <c r="B24" s="349"/>
      <c r="C24" s="180" t="s">
        <v>459</v>
      </c>
      <c r="D24" s="181" t="s">
        <v>460</v>
      </c>
      <c r="E24" s="182"/>
      <c r="F24" s="183"/>
      <c r="G24" s="383">
        <f t="shared" si="3"/>
        <v>0</v>
      </c>
      <c r="H24" s="123" t="str">
        <f t="shared" si="4"/>
        <v/>
      </c>
      <c r="I24" s="124">
        <f t="shared" si="5"/>
        <v>-2.5404525632604189E-2</v>
      </c>
      <c r="J24" s="406">
        <v>685744</v>
      </c>
      <c r="K24" s="404">
        <v>797769</v>
      </c>
      <c r="L24" s="775"/>
      <c r="M24" s="337">
        <v>0.18966844651891734</v>
      </c>
      <c r="N24" s="577">
        <v>0.18966844651891734</v>
      </c>
      <c r="O24" s="325"/>
      <c r="P24" s="189">
        <v>0</v>
      </c>
      <c r="Q24" s="402"/>
      <c r="R24" s="770">
        <v>0</v>
      </c>
      <c r="S24" s="189">
        <v>0</v>
      </c>
      <c r="T24" s="325">
        <v>-2.5404525632604189E-2</v>
      </c>
      <c r="U24" s="189">
        <v>-17421</v>
      </c>
      <c r="V24" s="402"/>
      <c r="W24" s="801">
        <v>0</v>
      </c>
      <c r="X24" s="684">
        <v>17421</v>
      </c>
      <c r="Y24" s="325"/>
      <c r="Z24" s="189"/>
      <c r="AA24" s="402"/>
      <c r="AB24" s="330">
        <v>0</v>
      </c>
      <c r="AC24" s="766"/>
      <c r="AD24" s="730">
        <v>0.5</v>
      </c>
      <c r="AE24" s="731">
        <v>0.5</v>
      </c>
      <c r="AF24" s="731">
        <v>0</v>
      </c>
      <c r="AG24" s="755">
        <v>2</v>
      </c>
      <c r="AH24" s="741"/>
      <c r="AI24" s="741"/>
      <c r="AJ24" s="661"/>
      <c r="AK24" s="661"/>
      <c r="AL24" s="661"/>
      <c r="AM24" s="661"/>
    </row>
    <row r="25" spans="1:39" s="179" customFormat="1" ht="12" customHeight="1">
      <c r="A25" s="348"/>
      <c r="B25" s="349"/>
      <c r="C25" s="180" t="s">
        <v>461</v>
      </c>
      <c r="D25" s="181" t="s">
        <v>462</v>
      </c>
      <c r="E25" s="182"/>
      <c r="F25" s="183"/>
      <c r="G25" s="383">
        <f t="shared" si="3"/>
        <v>0</v>
      </c>
      <c r="H25" s="123" t="str">
        <f t="shared" si="4"/>
        <v/>
      </c>
      <c r="I25" s="124">
        <f t="shared" si="5"/>
        <v>-1.5497763971337279E-2</v>
      </c>
      <c r="J25" s="406">
        <v>886386</v>
      </c>
      <c r="K25" s="404">
        <v>1086287</v>
      </c>
      <c r="L25" s="775"/>
      <c r="M25" s="337">
        <v>0.20484867676706164</v>
      </c>
      <c r="N25" s="577">
        <v>0.20484867676706164</v>
      </c>
      <c r="O25" s="325"/>
      <c r="P25" s="189">
        <v>0</v>
      </c>
      <c r="Q25" s="402"/>
      <c r="R25" s="770">
        <v>0</v>
      </c>
      <c r="S25" s="189">
        <v>0</v>
      </c>
      <c r="T25" s="325">
        <v>-1.5497763971337279E-2</v>
      </c>
      <c r="U25" s="189">
        <v>-13737</v>
      </c>
      <c r="V25" s="402"/>
      <c r="W25" s="801">
        <v>0</v>
      </c>
      <c r="X25" s="684">
        <v>13737</v>
      </c>
      <c r="Y25" s="325"/>
      <c r="Z25" s="189"/>
      <c r="AA25" s="402"/>
      <c r="AB25" s="330">
        <v>0</v>
      </c>
      <c r="AC25" s="766"/>
      <c r="AD25" s="730">
        <v>0.66666666666666663</v>
      </c>
      <c r="AE25" s="731">
        <v>0.33333333333333331</v>
      </c>
      <c r="AF25" s="731">
        <v>0</v>
      </c>
      <c r="AG25" s="755">
        <v>3</v>
      </c>
      <c r="AH25" s="741"/>
      <c r="AI25" s="741"/>
      <c r="AJ25" s="661"/>
      <c r="AK25" s="661"/>
      <c r="AL25" s="661"/>
      <c r="AM25" s="661"/>
    </row>
    <row r="26" spans="1:39" s="179" customFormat="1" ht="12" customHeight="1">
      <c r="A26" s="348"/>
      <c r="B26" s="349"/>
      <c r="C26" s="180" t="s">
        <v>443</v>
      </c>
      <c r="D26" s="181" t="s">
        <v>444</v>
      </c>
      <c r="E26" s="182"/>
      <c r="F26" s="183"/>
      <c r="G26" s="383">
        <f t="shared" si="3"/>
        <v>0</v>
      </c>
      <c r="H26" s="123" t="str">
        <f t="shared" si="4"/>
        <v/>
      </c>
      <c r="I26" s="124">
        <f t="shared" si="5"/>
        <v>-2.58728688848779E-2</v>
      </c>
      <c r="J26" s="406">
        <v>1164695</v>
      </c>
      <c r="K26" s="404">
        <v>1401545</v>
      </c>
      <c r="L26" s="775"/>
      <c r="M26" s="337">
        <v>0.21951154527108946</v>
      </c>
      <c r="N26" s="577">
        <v>0.21951154527108946</v>
      </c>
      <c r="O26" s="325"/>
      <c r="P26" s="189">
        <v>0</v>
      </c>
      <c r="Q26" s="402"/>
      <c r="R26" s="770">
        <v>0</v>
      </c>
      <c r="S26" s="189">
        <v>0</v>
      </c>
      <c r="T26" s="325">
        <v>-2.58728688848779E-2</v>
      </c>
      <c r="U26" s="189">
        <v>-30134</v>
      </c>
      <c r="V26" s="402"/>
      <c r="W26" s="801">
        <v>0</v>
      </c>
      <c r="X26" s="684">
        <v>30134</v>
      </c>
      <c r="Y26" s="325"/>
      <c r="Z26" s="189"/>
      <c r="AA26" s="402"/>
      <c r="AB26" s="330">
        <v>0</v>
      </c>
      <c r="AC26" s="766"/>
      <c r="AD26" s="730">
        <v>0.4</v>
      </c>
      <c r="AE26" s="731">
        <v>0.4</v>
      </c>
      <c r="AF26" s="731">
        <v>0.2</v>
      </c>
      <c r="AG26" s="755">
        <v>5</v>
      </c>
      <c r="AH26" s="741"/>
      <c r="AI26" s="741"/>
      <c r="AJ26" s="661"/>
      <c r="AK26" s="661"/>
      <c r="AL26" s="661"/>
      <c r="AM26" s="661"/>
    </row>
    <row r="27" spans="1:39" s="179" customFormat="1" ht="12" customHeight="1">
      <c r="A27" s="348"/>
      <c r="B27" s="349"/>
      <c r="C27" s="180" t="s">
        <v>463</v>
      </c>
      <c r="D27" s="181" t="s">
        <v>464</v>
      </c>
      <c r="E27" s="182"/>
      <c r="F27" s="183"/>
      <c r="G27" s="383">
        <f t="shared" si="3"/>
        <v>0</v>
      </c>
      <c r="H27" s="123" t="str">
        <f t="shared" si="4"/>
        <v/>
      </c>
      <c r="I27" s="124">
        <f t="shared" si="5"/>
        <v>-1.8279322311562207E-2</v>
      </c>
      <c r="J27" s="406">
        <v>1416081</v>
      </c>
      <c r="K27" s="404">
        <v>1626125</v>
      </c>
      <c r="L27" s="775"/>
      <c r="M27" s="337">
        <v>0.2394149764310198</v>
      </c>
      <c r="N27" s="577">
        <v>0.2394149764310198</v>
      </c>
      <c r="O27" s="325"/>
      <c r="P27" s="189">
        <v>0</v>
      </c>
      <c r="Q27" s="402"/>
      <c r="R27" s="770">
        <v>0</v>
      </c>
      <c r="S27" s="189">
        <v>0</v>
      </c>
      <c r="T27" s="325">
        <v>-1.8279322311562207E-2</v>
      </c>
      <c r="U27" s="189">
        <v>-25885</v>
      </c>
      <c r="V27" s="402"/>
      <c r="W27" s="801">
        <v>0</v>
      </c>
      <c r="X27" s="684">
        <v>25885</v>
      </c>
      <c r="Y27" s="325"/>
      <c r="Z27" s="189"/>
      <c r="AA27" s="402"/>
      <c r="AB27" s="330">
        <v>0</v>
      </c>
      <c r="AC27" s="766"/>
      <c r="AD27" s="730">
        <v>0.33333333333333331</v>
      </c>
      <c r="AE27" s="731">
        <v>0.66666666666666663</v>
      </c>
      <c r="AF27" s="731">
        <v>0</v>
      </c>
      <c r="AG27" s="755">
        <v>3</v>
      </c>
      <c r="AH27" s="741"/>
      <c r="AI27" s="741"/>
      <c r="AJ27" s="661"/>
      <c r="AK27" s="661"/>
      <c r="AL27" s="661"/>
      <c r="AM27" s="661"/>
    </row>
    <row r="28" spans="1:39" s="179" customFormat="1" ht="12" customHeight="1">
      <c r="A28" s="348"/>
      <c r="B28" s="349"/>
      <c r="C28" s="180" t="s">
        <v>465</v>
      </c>
      <c r="D28" s="181" t="s">
        <v>466</v>
      </c>
      <c r="E28" s="182"/>
      <c r="F28" s="183"/>
      <c r="G28" s="383">
        <f t="shared" si="3"/>
        <v>0</v>
      </c>
      <c r="H28" s="123" t="str">
        <f t="shared" si="4"/>
        <v/>
      </c>
      <c r="I28" s="124">
        <f t="shared" si="5"/>
        <v>-1.7367127815739108E-2</v>
      </c>
      <c r="J28" s="406">
        <v>1385779</v>
      </c>
      <c r="K28" s="404">
        <v>1611004</v>
      </c>
      <c r="L28" s="775"/>
      <c r="M28" s="337">
        <v>0.21165207382393014</v>
      </c>
      <c r="N28" s="577">
        <v>0.21165207382393014</v>
      </c>
      <c r="O28" s="325"/>
      <c r="P28" s="189">
        <v>0</v>
      </c>
      <c r="Q28" s="402"/>
      <c r="R28" s="770">
        <v>0</v>
      </c>
      <c r="S28" s="189">
        <v>0</v>
      </c>
      <c r="T28" s="325">
        <v>-1.7367127815739108E-2</v>
      </c>
      <c r="U28" s="189">
        <v>-24067</v>
      </c>
      <c r="V28" s="402"/>
      <c r="W28" s="801">
        <v>0</v>
      </c>
      <c r="X28" s="684">
        <v>24067</v>
      </c>
      <c r="Y28" s="325"/>
      <c r="Z28" s="189"/>
      <c r="AA28" s="402"/>
      <c r="AB28" s="330">
        <v>0</v>
      </c>
      <c r="AC28" s="766"/>
      <c r="AD28" s="730">
        <v>0</v>
      </c>
      <c r="AE28" s="731">
        <v>1</v>
      </c>
      <c r="AF28" s="731">
        <v>0</v>
      </c>
      <c r="AG28" s="755">
        <v>2</v>
      </c>
      <c r="AH28" s="741"/>
      <c r="AI28" s="741"/>
      <c r="AJ28" s="661"/>
      <c r="AK28" s="661"/>
      <c r="AL28" s="661"/>
      <c r="AM28" s="661"/>
    </row>
    <row r="29" spans="1:39" s="179" customFormat="1" ht="12" customHeight="1">
      <c r="A29" s="348"/>
      <c r="B29" s="349"/>
      <c r="C29" s="180"/>
      <c r="D29" s="181"/>
      <c r="E29" s="182"/>
      <c r="F29" s="183"/>
      <c r="G29" s="383" t="str">
        <f t="shared" ref="G29:G35" si="6">IFERROR(IF(J29=0,"",(J29-L29)/L29),0)</f>
        <v/>
      </c>
      <c r="H29" s="123" t="str">
        <f t="shared" ref="H29:H35" si="7">IFERROR(IF(O29=0,"",O29-Q29),0)</f>
        <v/>
      </c>
      <c r="I29" s="124" t="str">
        <f t="shared" ref="I29:I35" si="8">IFERROR(IF(J29=0,"",T29-V29),"")</f>
        <v/>
      </c>
      <c r="J29" s="406"/>
      <c r="K29" s="404"/>
      <c r="L29" s="775"/>
      <c r="M29" s="337"/>
      <c r="N29" s="577"/>
      <c r="O29" s="325"/>
      <c r="P29" s="189"/>
      <c r="Q29" s="402"/>
      <c r="R29" s="770"/>
      <c r="S29" s="189"/>
      <c r="T29" s="325"/>
      <c r="U29" s="189"/>
      <c r="V29" s="402"/>
      <c r="W29" s="801">
        <v>0</v>
      </c>
      <c r="X29" s="684">
        <v>0</v>
      </c>
      <c r="Y29" s="325"/>
      <c r="Z29" s="189"/>
      <c r="AA29" s="402"/>
      <c r="AB29" s="330"/>
      <c r="AC29" s="766"/>
      <c r="AD29" s="730"/>
      <c r="AE29" s="730"/>
      <c r="AF29" s="730"/>
      <c r="AG29" s="755"/>
      <c r="AH29" s="661"/>
      <c r="AI29" s="661"/>
      <c r="AJ29" s="661"/>
      <c r="AK29" s="661"/>
      <c r="AL29" s="661"/>
      <c r="AM29" s="661"/>
    </row>
    <row r="30" spans="1:39" s="179" customFormat="1" ht="12" customHeight="1">
      <c r="A30" s="348"/>
      <c r="B30" s="349"/>
      <c r="C30" s="180"/>
      <c r="D30" s="181"/>
      <c r="E30" s="182"/>
      <c r="F30" s="183"/>
      <c r="G30" s="383" t="str">
        <f t="shared" si="6"/>
        <v/>
      </c>
      <c r="H30" s="123" t="str">
        <f t="shared" si="7"/>
        <v/>
      </c>
      <c r="I30" s="124" t="str">
        <f t="shared" si="8"/>
        <v/>
      </c>
      <c r="J30" s="406"/>
      <c r="K30" s="404"/>
      <c r="L30" s="775"/>
      <c r="M30" s="337"/>
      <c r="N30" s="577"/>
      <c r="O30" s="325"/>
      <c r="P30" s="189"/>
      <c r="Q30" s="402"/>
      <c r="R30" s="770"/>
      <c r="S30" s="189"/>
      <c r="T30" s="325"/>
      <c r="U30" s="189"/>
      <c r="V30" s="402"/>
      <c r="W30" s="801">
        <v>0</v>
      </c>
      <c r="X30" s="684">
        <v>0</v>
      </c>
      <c r="Y30" s="325"/>
      <c r="Z30" s="189"/>
      <c r="AA30" s="402"/>
      <c r="AB30" s="330"/>
      <c r="AC30" s="766"/>
      <c r="AD30" s="730"/>
      <c r="AE30" s="730"/>
      <c r="AF30" s="730"/>
      <c r="AG30" s="755"/>
      <c r="AH30" s="661"/>
      <c r="AI30" s="661"/>
      <c r="AJ30" s="661"/>
      <c r="AK30" s="661"/>
      <c r="AL30" s="661"/>
      <c r="AM30" s="661"/>
    </row>
    <row r="31" spans="1:39" s="179" customFormat="1" ht="12" customHeight="1">
      <c r="A31" s="348"/>
      <c r="B31" s="349"/>
      <c r="C31" s="180"/>
      <c r="D31" s="181"/>
      <c r="E31" s="182"/>
      <c r="F31" s="183"/>
      <c r="G31" s="383" t="str">
        <f t="shared" si="6"/>
        <v/>
      </c>
      <c r="H31" s="123" t="str">
        <f t="shared" si="7"/>
        <v/>
      </c>
      <c r="I31" s="124" t="str">
        <f t="shared" si="8"/>
        <v/>
      </c>
      <c r="J31" s="406"/>
      <c r="K31" s="404"/>
      <c r="L31" s="775"/>
      <c r="M31" s="337"/>
      <c r="N31" s="577"/>
      <c r="O31" s="325"/>
      <c r="P31" s="189"/>
      <c r="Q31" s="402"/>
      <c r="R31" s="770"/>
      <c r="S31" s="189"/>
      <c r="T31" s="325"/>
      <c r="U31" s="189"/>
      <c r="V31" s="402"/>
      <c r="W31" s="801">
        <v>0</v>
      </c>
      <c r="X31" s="684">
        <v>0</v>
      </c>
      <c r="Y31" s="325"/>
      <c r="Z31" s="189"/>
      <c r="AA31" s="402"/>
      <c r="AB31" s="330"/>
      <c r="AC31" s="766"/>
      <c r="AD31" s="730"/>
      <c r="AE31" s="730"/>
      <c r="AF31" s="730"/>
      <c r="AG31" s="755"/>
      <c r="AH31" s="661"/>
      <c r="AI31" s="661"/>
      <c r="AJ31" s="661"/>
      <c r="AK31" s="661"/>
      <c r="AL31" s="661"/>
      <c r="AM31" s="661"/>
    </row>
    <row r="32" spans="1:39" s="179" customFormat="1" ht="12" customHeight="1">
      <c r="A32" s="348"/>
      <c r="B32" s="349"/>
      <c r="C32" s="180"/>
      <c r="D32" s="181"/>
      <c r="E32" s="182"/>
      <c r="F32" s="183"/>
      <c r="G32" s="383" t="str">
        <f t="shared" si="6"/>
        <v/>
      </c>
      <c r="H32" s="123" t="str">
        <f t="shared" si="7"/>
        <v/>
      </c>
      <c r="I32" s="124" t="str">
        <f t="shared" si="8"/>
        <v/>
      </c>
      <c r="J32" s="406"/>
      <c r="K32" s="404"/>
      <c r="L32" s="775"/>
      <c r="M32" s="337"/>
      <c r="N32" s="577"/>
      <c r="O32" s="325"/>
      <c r="P32" s="189"/>
      <c r="Q32" s="402"/>
      <c r="R32" s="770"/>
      <c r="S32" s="189"/>
      <c r="T32" s="325"/>
      <c r="U32" s="189"/>
      <c r="V32" s="402"/>
      <c r="W32" s="801">
        <v>0</v>
      </c>
      <c r="X32" s="684">
        <v>0</v>
      </c>
      <c r="Y32" s="325"/>
      <c r="Z32" s="189"/>
      <c r="AA32" s="402"/>
      <c r="AB32" s="330"/>
      <c r="AC32" s="766"/>
      <c r="AD32" s="730"/>
      <c r="AE32" s="730"/>
      <c r="AF32" s="730"/>
      <c r="AG32" s="755"/>
      <c r="AH32" s="661"/>
      <c r="AI32" s="661"/>
      <c r="AJ32" s="661"/>
      <c r="AK32" s="661"/>
      <c r="AL32" s="661"/>
      <c r="AM32" s="661"/>
    </row>
    <row r="33" spans="1:39" s="179" customFormat="1" ht="12" customHeight="1">
      <c r="A33" s="348"/>
      <c r="B33" s="349"/>
      <c r="C33" s="180"/>
      <c r="D33" s="181"/>
      <c r="E33" s="182"/>
      <c r="F33" s="183"/>
      <c r="G33" s="383" t="str">
        <f t="shared" si="6"/>
        <v/>
      </c>
      <c r="H33" s="123" t="str">
        <f t="shared" si="7"/>
        <v/>
      </c>
      <c r="I33" s="124" t="str">
        <f t="shared" si="8"/>
        <v/>
      </c>
      <c r="J33" s="406"/>
      <c r="K33" s="404"/>
      <c r="L33" s="775"/>
      <c r="M33" s="337"/>
      <c r="N33" s="577"/>
      <c r="O33" s="325"/>
      <c r="P33" s="189"/>
      <c r="Q33" s="402"/>
      <c r="R33" s="770"/>
      <c r="S33" s="189"/>
      <c r="T33" s="325"/>
      <c r="U33" s="189"/>
      <c r="V33" s="402"/>
      <c r="W33" s="801">
        <v>0</v>
      </c>
      <c r="X33" s="684">
        <v>0</v>
      </c>
      <c r="Y33" s="325"/>
      <c r="Z33" s="189"/>
      <c r="AA33" s="402"/>
      <c r="AB33" s="330"/>
      <c r="AC33" s="766"/>
      <c r="AD33" s="730"/>
      <c r="AE33" s="730"/>
      <c r="AF33" s="730"/>
      <c r="AG33" s="755"/>
      <c r="AH33" s="661"/>
      <c r="AI33" s="661"/>
      <c r="AJ33" s="661"/>
      <c r="AK33" s="661"/>
      <c r="AL33" s="661"/>
      <c r="AM33" s="661"/>
    </row>
    <row r="34" spans="1:39" s="179" customFormat="1" ht="12" customHeight="1">
      <c r="A34" s="348"/>
      <c r="B34" s="349"/>
      <c r="C34" s="180"/>
      <c r="D34" s="181"/>
      <c r="E34" s="182"/>
      <c r="F34" s="183"/>
      <c r="G34" s="383" t="str">
        <f t="shared" si="6"/>
        <v/>
      </c>
      <c r="H34" s="123" t="str">
        <f t="shared" si="7"/>
        <v/>
      </c>
      <c r="I34" s="124" t="str">
        <f t="shared" si="8"/>
        <v/>
      </c>
      <c r="J34" s="406"/>
      <c r="K34" s="404"/>
      <c r="L34" s="775"/>
      <c r="M34" s="337"/>
      <c r="N34" s="577"/>
      <c r="O34" s="325"/>
      <c r="P34" s="189"/>
      <c r="Q34" s="402"/>
      <c r="R34" s="770"/>
      <c r="S34" s="189"/>
      <c r="T34" s="325"/>
      <c r="U34" s="189"/>
      <c r="V34" s="402"/>
      <c r="W34" s="801"/>
      <c r="X34" s="684"/>
      <c r="Y34" s="325"/>
      <c r="Z34" s="189"/>
      <c r="AA34" s="402"/>
      <c r="AB34" s="330"/>
      <c r="AC34" s="766"/>
      <c r="AD34" s="730"/>
      <c r="AE34" s="730"/>
      <c r="AF34" s="730"/>
      <c r="AG34" s="755"/>
      <c r="AH34" s="661"/>
      <c r="AI34" s="661"/>
      <c r="AJ34" s="661"/>
      <c r="AK34" s="661"/>
      <c r="AL34" s="661"/>
      <c r="AM34" s="661"/>
    </row>
    <row r="35" spans="1:39" s="179" customFormat="1" ht="12" customHeight="1" thickBot="1">
      <c r="A35" s="350"/>
      <c r="B35" s="351"/>
      <c r="C35" s="352"/>
      <c r="D35" s="353"/>
      <c r="E35" s="354"/>
      <c r="F35" s="355"/>
      <c r="G35" s="384" t="str">
        <f t="shared" si="6"/>
        <v/>
      </c>
      <c r="H35" s="136" t="str">
        <f t="shared" si="7"/>
        <v/>
      </c>
      <c r="I35" s="137" t="str">
        <f t="shared" si="8"/>
        <v/>
      </c>
      <c r="J35" s="407"/>
      <c r="K35" s="405"/>
      <c r="L35" s="776"/>
      <c r="M35" s="356"/>
      <c r="N35" s="579"/>
      <c r="O35" s="358"/>
      <c r="P35" s="357"/>
      <c r="Q35" s="403"/>
      <c r="R35" s="771"/>
      <c r="S35" s="357"/>
      <c r="T35" s="358"/>
      <c r="U35" s="357"/>
      <c r="V35" s="403"/>
      <c r="W35" s="802"/>
      <c r="X35" s="685"/>
      <c r="Y35" s="358"/>
      <c r="Z35" s="357"/>
      <c r="AA35" s="403"/>
      <c r="AB35" s="359"/>
      <c r="AC35" s="767"/>
      <c r="AD35" s="807"/>
      <c r="AE35" s="807"/>
      <c r="AF35" s="807"/>
      <c r="AG35" s="810"/>
      <c r="AH35" s="661"/>
      <c r="AI35" s="661"/>
      <c r="AJ35" s="661"/>
      <c r="AK35" s="661"/>
      <c r="AL35" s="661"/>
      <c r="AM35" s="661"/>
    </row>
    <row r="36" spans="1:39">
      <c r="A36" s="657"/>
      <c r="B36" s="657"/>
      <c r="C36" s="664"/>
      <c r="D36" s="657"/>
      <c r="E36" s="657"/>
      <c r="F36" s="743"/>
      <c r="G36" s="664"/>
      <c r="H36" s="657"/>
      <c r="I36" s="657"/>
      <c r="J36" s="744"/>
      <c r="K36" s="745"/>
      <c r="L36" s="746"/>
      <c r="M36" s="747"/>
      <c r="N36" s="747"/>
      <c r="O36" s="747"/>
      <c r="P36" s="746"/>
      <c r="Q36" s="748"/>
      <c r="R36" s="657"/>
      <c r="S36" s="657"/>
      <c r="T36" s="747"/>
      <c r="U36" s="746"/>
      <c r="V36" s="747"/>
      <c r="W36" s="749"/>
      <c r="X36" s="657"/>
      <c r="Y36" s="747"/>
      <c r="Z36" s="746"/>
      <c r="AA36" s="747"/>
      <c r="AB36" s="747"/>
      <c r="AC36" s="750"/>
      <c r="AD36" s="750"/>
      <c r="AE36" s="751"/>
      <c r="AF36" s="751"/>
      <c r="AG36" s="657"/>
      <c r="AH36" s="657"/>
      <c r="AI36" s="657"/>
      <c r="AJ36" s="657"/>
      <c r="AK36" s="657"/>
      <c r="AL36" s="657"/>
      <c r="AM36" s="657"/>
    </row>
    <row r="37" spans="1:39">
      <c r="A37" s="657"/>
      <c r="B37" s="657"/>
      <c r="C37" s="664"/>
      <c r="D37" s="752"/>
      <c r="E37" s="657"/>
      <c r="F37" s="743"/>
      <c r="G37" s="664"/>
      <c r="H37" s="657"/>
      <c r="I37" s="657"/>
      <c r="J37" s="745"/>
      <c r="K37" s="745"/>
      <c r="L37" s="746"/>
      <c r="M37" s="747"/>
      <c r="N37" s="747"/>
      <c r="O37" s="753"/>
      <c r="P37" s="746"/>
      <c r="Q37" s="748"/>
      <c r="R37" s="657"/>
      <c r="S37" s="657"/>
      <c r="T37" s="747"/>
      <c r="U37" s="746"/>
      <c r="V37" s="747"/>
      <c r="W37" s="749"/>
      <c r="X37" s="657"/>
      <c r="Y37" s="747"/>
      <c r="Z37" s="746"/>
      <c r="AA37" s="747"/>
      <c r="AB37" s="747"/>
      <c r="AC37" s="750"/>
      <c r="AD37" s="750"/>
      <c r="AE37" s="751"/>
      <c r="AF37" s="751"/>
      <c r="AG37" s="657"/>
      <c r="AH37" s="657"/>
      <c r="AI37" s="657"/>
      <c r="AJ37" s="657"/>
      <c r="AK37" s="657"/>
      <c r="AL37" s="657"/>
      <c r="AM37" s="657"/>
    </row>
    <row r="38" spans="1:39">
      <c r="A38" s="657"/>
      <c r="B38" s="657"/>
      <c r="C38" s="664"/>
      <c r="D38" s="657"/>
      <c r="E38" s="657"/>
      <c r="F38" s="743"/>
      <c r="G38" s="664"/>
      <c r="H38" s="657"/>
      <c r="I38" s="657"/>
      <c r="J38" s="745"/>
      <c r="K38" s="745"/>
      <c r="L38" s="746"/>
      <c r="M38" s="747"/>
      <c r="N38" s="747"/>
      <c r="O38" s="747"/>
      <c r="P38" s="746"/>
      <c r="Q38" s="748"/>
      <c r="R38" s="657"/>
      <c r="S38" s="657"/>
      <c r="T38" s="747"/>
      <c r="U38" s="746"/>
      <c r="V38" s="747"/>
      <c r="W38" s="749"/>
      <c r="X38" s="657"/>
      <c r="Y38" s="747"/>
      <c r="Z38" s="746"/>
      <c r="AA38" s="747"/>
      <c r="AB38" s="747"/>
      <c r="AC38" s="750"/>
      <c r="AD38" s="750"/>
      <c r="AE38" s="751"/>
      <c r="AF38" s="751"/>
      <c r="AG38" s="657"/>
      <c r="AH38" s="657"/>
      <c r="AI38" s="657"/>
      <c r="AJ38" s="657"/>
      <c r="AK38" s="657"/>
      <c r="AL38" s="657"/>
      <c r="AM38" s="657"/>
    </row>
    <row r="39" spans="1:39">
      <c r="A39" s="657"/>
      <c r="B39" s="657"/>
      <c r="C39" s="664"/>
      <c r="D39" s="657"/>
      <c r="E39" s="657"/>
      <c r="F39" s="743"/>
      <c r="G39" s="664"/>
      <c r="H39" s="657"/>
      <c r="I39" s="657"/>
      <c r="J39" s="745"/>
      <c r="K39" s="745"/>
      <c r="L39" s="746"/>
      <c r="M39" s="747"/>
      <c r="N39" s="747"/>
      <c r="O39" s="747"/>
      <c r="P39" s="746"/>
      <c r="Q39" s="748"/>
      <c r="R39" s="657"/>
      <c r="S39" s="657"/>
      <c r="T39" s="747"/>
      <c r="U39" s="746"/>
      <c r="V39" s="747"/>
      <c r="W39" s="749"/>
      <c r="X39" s="657"/>
      <c r="Y39" s="747"/>
      <c r="Z39" s="746"/>
      <c r="AA39" s="747"/>
      <c r="AB39" s="747"/>
      <c r="AC39" s="750"/>
      <c r="AD39" s="750"/>
      <c r="AE39" s="751"/>
      <c r="AF39" s="751"/>
      <c r="AG39" s="657"/>
      <c r="AH39" s="657"/>
      <c r="AI39" s="657"/>
      <c r="AJ39" s="657"/>
      <c r="AK39" s="657"/>
      <c r="AL39" s="657"/>
      <c r="AM39" s="657"/>
    </row>
    <row r="40" spans="1:39">
      <c r="A40" s="657"/>
      <c r="B40" s="657"/>
      <c r="C40" s="664"/>
      <c r="D40" s="657"/>
      <c r="E40" s="657"/>
      <c r="F40" s="743"/>
      <c r="G40" s="664"/>
      <c r="H40" s="657"/>
      <c r="I40" s="657"/>
      <c r="J40" s="745"/>
      <c r="K40" s="745"/>
      <c r="L40" s="746"/>
      <c r="M40" s="747"/>
      <c r="N40" s="747"/>
      <c r="O40" s="747"/>
      <c r="P40" s="746"/>
      <c r="Q40" s="748"/>
      <c r="R40" s="657"/>
      <c r="S40" s="657"/>
      <c r="T40" s="747"/>
      <c r="U40" s="746"/>
      <c r="V40" s="747"/>
      <c r="W40" s="749"/>
      <c r="X40" s="657"/>
      <c r="Y40" s="747"/>
      <c r="Z40" s="746"/>
      <c r="AA40" s="747"/>
      <c r="AB40" s="747"/>
      <c r="AC40" s="750"/>
      <c r="AD40" s="750"/>
      <c r="AE40" s="751"/>
      <c r="AF40" s="751"/>
      <c r="AG40" s="657"/>
      <c r="AH40" s="657"/>
      <c r="AI40" s="657"/>
      <c r="AJ40" s="657"/>
      <c r="AK40" s="657"/>
      <c r="AL40" s="657"/>
      <c r="AM40" s="657"/>
    </row>
    <row r="41" spans="1:39">
      <c r="A41" s="657"/>
      <c r="B41" s="657"/>
      <c r="C41" s="664"/>
      <c r="D41" s="657"/>
      <c r="E41" s="657"/>
      <c r="F41" s="743"/>
      <c r="G41" s="664"/>
      <c r="H41" s="657"/>
      <c r="I41" s="657"/>
      <c r="J41" s="745"/>
      <c r="K41" s="745"/>
      <c r="L41" s="746"/>
      <c r="M41" s="747"/>
      <c r="N41" s="747"/>
      <c r="O41" s="747"/>
      <c r="P41" s="746"/>
      <c r="Q41" s="748"/>
      <c r="R41" s="657"/>
      <c r="S41" s="657"/>
      <c r="T41" s="747"/>
      <c r="U41" s="746"/>
      <c r="V41" s="747"/>
      <c r="W41" s="749"/>
      <c r="X41" s="657"/>
      <c r="Y41" s="747"/>
      <c r="Z41" s="746"/>
      <c r="AA41" s="747"/>
      <c r="AB41" s="747"/>
      <c r="AC41" s="750"/>
      <c r="AD41" s="750"/>
      <c r="AE41" s="751"/>
      <c r="AF41" s="751"/>
      <c r="AG41" s="657"/>
      <c r="AH41" s="657"/>
      <c r="AI41" s="657"/>
      <c r="AJ41" s="657"/>
      <c r="AK41" s="657"/>
      <c r="AL41" s="657"/>
      <c r="AM41" s="657"/>
    </row>
    <row r="42" spans="1:39">
      <c r="A42" s="657"/>
      <c r="B42" s="657"/>
      <c r="C42" s="664"/>
      <c r="D42" s="657"/>
      <c r="E42" s="657"/>
      <c r="F42" s="743"/>
      <c r="G42" s="664"/>
      <c r="H42" s="657"/>
      <c r="I42" s="657"/>
      <c r="J42" s="745"/>
      <c r="K42" s="745"/>
      <c r="L42" s="746"/>
      <c r="M42" s="747"/>
      <c r="N42" s="747"/>
      <c r="O42" s="747"/>
      <c r="P42" s="746"/>
      <c r="Q42" s="748"/>
      <c r="R42" s="657"/>
      <c r="S42" s="657"/>
      <c r="T42" s="747"/>
      <c r="U42" s="746"/>
      <c r="V42" s="747"/>
      <c r="W42" s="749"/>
      <c r="X42" s="657"/>
      <c r="Y42" s="747"/>
      <c r="Z42" s="746"/>
      <c r="AA42" s="747"/>
      <c r="AB42" s="747"/>
      <c r="AC42" s="750"/>
      <c r="AD42" s="750"/>
      <c r="AE42" s="751"/>
      <c r="AF42" s="751"/>
      <c r="AG42" s="657"/>
      <c r="AH42" s="657"/>
      <c r="AI42" s="657"/>
      <c r="AJ42" s="657"/>
      <c r="AK42" s="657"/>
      <c r="AL42" s="657"/>
      <c r="AM42" s="657"/>
    </row>
    <row r="43" spans="1:39">
      <c r="A43" s="657"/>
      <c r="B43" s="657"/>
      <c r="C43" s="664"/>
      <c r="D43" s="657"/>
      <c r="E43" s="657"/>
      <c r="F43" s="743"/>
      <c r="G43" s="664"/>
      <c r="H43" s="657"/>
      <c r="I43" s="657"/>
      <c r="J43" s="745"/>
      <c r="K43" s="745"/>
      <c r="L43" s="746"/>
      <c r="M43" s="747"/>
      <c r="N43" s="747"/>
      <c r="O43" s="747"/>
      <c r="P43" s="746"/>
      <c r="Q43" s="748"/>
      <c r="R43" s="657"/>
      <c r="S43" s="657"/>
      <c r="T43" s="747"/>
      <c r="U43" s="746"/>
      <c r="V43" s="747"/>
      <c r="W43" s="749"/>
      <c r="X43" s="657"/>
      <c r="Y43" s="747"/>
      <c r="Z43" s="746"/>
      <c r="AA43" s="747"/>
      <c r="AB43" s="747"/>
      <c r="AC43" s="750"/>
      <c r="AD43" s="750"/>
      <c r="AE43" s="751"/>
      <c r="AF43" s="751"/>
      <c r="AG43" s="657"/>
      <c r="AH43" s="657"/>
      <c r="AI43" s="657"/>
      <c r="AJ43" s="657"/>
      <c r="AK43" s="657"/>
      <c r="AL43" s="657"/>
      <c r="AM43" s="657"/>
    </row>
    <row r="44" spans="1:39">
      <c r="A44" s="657"/>
      <c r="B44" s="657"/>
      <c r="C44" s="664"/>
      <c r="D44" s="657"/>
      <c r="E44" s="657"/>
      <c r="F44" s="743"/>
      <c r="G44" s="664"/>
      <c r="H44" s="657"/>
      <c r="I44" s="657"/>
      <c r="J44" s="745"/>
      <c r="K44" s="745"/>
      <c r="L44" s="746"/>
      <c r="M44" s="747"/>
      <c r="N44" s="747"/>
      <c r="O44" s="747"/>
      <c r="P44" s="746"/>
      <c r="Q44" s="748"/>
      <c r="R44" s="657"/>
      <c r="S44" s="657"/>
      <c r="T44" s="747"/>
      <c r="U44" s="746"/>
      <c r="V44" s="747"/>
      <c r="W44" s="749"/>
      <c r="X44" s="657"/>
      <c r="Y44" s="747"/>
      <c r="Z44" s="746"/>
      <c r="AA44" s="747"/>
      <c r="AB44" s="747"/>
      <c r="AC44" s="750"/>
      <c r="AD44" s="750"/>
      <c r="AE44" s="751"/>
      <c r="AF44" s="751"/>
      <c r="AG44" s="657"/>
      <c r="AH44" s="657"/>
      <c r="AI44" s="657"/>
      <c r="AJ44" s="657"/>
      <c r="AK44" s="657"/>
      <c r="AL44" s="657"/>
      <c r="AM44" s="657"/>
    </row>
    <row r="45" spans="1:39">
      <c r="A45" s="657"/>
      <c r="B45" s="657"/>
      <c r="C45" s="664"/>
      <c r="D45" s="657"/>
      <c r="E45" s="657"/>
      <c r="F45" s="743"/>
      <c r="G45" s="664"/>
      <c r="H45" s="657"/>
      <c r="I45" s="657"/>
      <c r="J45" s="745"/>
      <c r="K45" s="745"/>
      <c r="L45" s="746"/>
      <c r="M45" s="747"/>
      <c r="N45" s="747"/>
      <c r="O45" s="747"/>
      <c r="P45" s="746"/>
      <c r="Q45" s="748"/>
      <c r="R45" s="657"/>
      <c r="S45" s="657"/>
      <c r="T45" s="747"/>
      <c r="U45" s="746"/>
      <c r="V45" s="747"/>
      <c r="W45" s="749"/>
      <c r="X45" s="657"/>
      <c r="Y45" s="747"/>
      <c r="Z45" s="746"/>
      <c r="AA45" s="747"/>
      <c r="AB45" s="747"/>
      <c r="AC45" s="750"/>
      <c r="AD45" s="750"/>
      <c r="AE45" s="751"/>
      <c r="AF45" s="751"/>
      <c r="AG45" s="657"/>
      <c r="AH45" s="657"/>
      <c r="AI45" s="657"/>
      <c r="AJ45" s="657"/>
      <c r="AK45" s="657"/>
      <c r="AL45" s="657"/>
      <c r="AM45" s="657"/>
    </row>
    <row r="46" spans="1:39">
      <c r="A46" s="657"/>
      <c r="B46" s="657"/>
      <c r="C46" s="664"/>
      <c r="D46" s="657"/>
      <c r="E46" s="657"/>
      <c r="F46" s="743"/>
      <c r="G46" s="664"/>
      <c r="H46" s="657"/>
      <c r="I46" s="657"/>
      <c r="J46" s="745"/>
      <c r="K46" s="745"/>
      <c r="L46" s="746"/>
      <c r="M46" s="747"/>
      <c r="N46" s="747"/>
      <c r="O46" s="747"/>
      <c r="P46" s="746"/>
      <c r="Q46" s="748"/>
      <c r="R46" s="657"/>
      <c r="S46" s="657"/>
      <c r="T46" s="747"/>
      <c r="U46" s="746"/>
      <c r="V46" s="747"/>
      <c r="W46" s="749"/>
      <c r="X46" s="657"/>
      <c r="Y46" s="747"/>
      <c r="Z46" s="746"/>
      <c r="AA46" s="747"/>
      <c r="AB46" s="747"/>
      <c r="AC46" s="750"/>
      <c r="AD46" s="750"/>
      <c r="AE46" s="751"/>
      <c r="AF46" s="751"/>
      <c r="AG46" s="657"/>
      <c r="AH46" s="657"/>
      <c r="AI46" s="657"/>
      <c r="AJ46" s="657"/>
      <c r="AK46" s="657"/>
      <c r="AL46" s="657"/>
      <c r="AM46" s="657"/>
    </row>
    <row r="47" spans="1:39">
      <c r="A47" s="657"/>
      <c r="B47" s="657"/>
      <c r="C47" s="664"/>
      <c r="D47" s="657"/>
      <c r="E47" s="657"/>
      <c r="F47" s="743"/>
      <c r="G47" s="664"/>
      <c r="H47" s="657"/>
      <c r="I47" s="657"/>
      <c r="J47" s="745"/>
      <c r="K47" s="745"/>
      <c r="L47" s="746"/>
      <c r="M47" s="747"/>
      <c r="N47" s="747"/>
      <c r="O47" s="747"/>
      <c r="P47" s="746"/>
      <c r="Q47" s="748"/>
      <c r="R47" s="657"/>
      <c r="S47" s="657"/>
      <c r="T47" s="747"/>
      <c r="U47" s="746"/>
      <c r="V47" s="747"/>
      <c r="W47" s="749"/>
      <c r="X47" s="657"/>
      <c r="Y47" s="747"/>
      <c r="Z47" s="746"/>
      <c r="AA47" s="747"/>
      <c r="AB47" s="747"/>
      <c r="AC47" s="750"/>
      <c r="AD47" s="750"/>
      <c r="AE47" s="751"/>
      <c r="AF47" s="751"/>
      <c r="AG47" s="657"/>
      <c r="AH47" s="657"/>
      <c r="AI47" s="657"/>
      <c r="AJ47" s="657"/>
      <c r="AK47" s="657"/>
      <c r="AL47" s="657"/>
      <c r="AM47" s="657"/>
    </row>
    <row r="48" spans="1:39">
      <c r="A48" s="657"/>
      <c r="B48" s="657"/>
      <c r="C48" s="664"/>
      <c r="D48" s="657"/>
      <c r="E48" s="657"/>
      <c r="F48" s="743"/>
      <c r="G48" s="664"/>
      <c r="H48" s="657"/>
      <c r="I48" s="657"/>
      <c r="J48" s="745"/>
      <c r="K48" s="745"/>
      <c r="L48" s="746"/>
      <c r="M48" s="747"/>
      <c r="N48" s="747"/>
      <c r="O48" s="747"/>
      <c r="P48" s="746"/>
      <c r="Q48" s="748"/>
      <c r="R48" s="657"/>
      <c r="S48" s="657"/>
      <c r="T48" s="747"/>
      <c r="U48" s="746"/>
      <c r="V48" s="747"/>
      <c r="W48" s="749"/>
      <c r="X48" s="657"/>
      <c r="Y48" s="747"/>
      <c r="Z48" s="746"/>
      <c r="AA48" s="747"/>
      <c r="AB48" s="747"/>
      <c r="AC48" s="750"/>
      <c r="AD48" s="750"/>
      <c r="AE48" s="751"/>
      <c r="AF48" s="751"/>
      <c r="AG48" s="657"/>
      <c r="AH48" s="657"/>
      <c r="AI48" s="657"/>
      <c r="AJ48" s="657"/>
      <c r="AK48" s="657"/>
      <c r="AL48" s="657"/>
      <c r="AM48" s="657"/>
    </row>
    <row r="49" spans="1:39">
      <c r="A49" s="657"/>
      <c r="B49" s="657"/>
      <c r="C49" s="664"/>
      <c r="D49" s="657"/>
      <c r="E49" s="657"/>
      <c r="F49" s="743"/>
      <c r="G49" s="664"/>
      <c r="H49" s="657"/>
      <c r="I49" s="657"/>
      <c r="J49" s="745"/>
      <c r="K49" s="745"/>
      <c r="L49" s="746"/>
      <c r="M49" s="747"/>
      <c r="N49" s="747"/>
      <c r="O49" s="747"/>
      <c r="P49" s="746"/>
      <c r="Q49" s="748"/>
      <c r="R49" s="657"/>
      <c r="S49" s="657"/>
      <c r="T49" s="747"/>
      <c r="U49" s="746"/>
      <c r="V49" s="747"/>
      <c r="W49" s="749"/>
      <c r="X49" s="657"/>
      <c r="Y49" s="747"/>
      <c r="Z49" s="746"/>
      <c r="AA49" s="747"/>
      <c r="AB49" s="747"/>
      <c r="AC49" s="750"/>
      <c r="AD49" s="750"/>
      <c r="AE49" s="751"/>
      <c r="AF49" s="751"/>
      <c r="AG49" s="657"/>
      <c r="AH49" s="657"/>
      <c r="AI49" s="657"/>
      <c r="AJ49" s="657"/>
      <c r="AK49" s="657"/>
      <c r="AL49" s="657"/>
      <c r="AM49" s="657"/>
    </row>
    <row r="50" spans="1:39">
      <c r="A50" s="657"/>
      <c r="B50" s="657"/>
      <c r="C50" s="664"/>
      <c r="D50" s="657"/>
      <c r="E50" s="657"/>
      <c r="F50" s="743"/>
      <c r="G50" s="664"/>
      <c r="H50" s="657"/>
      <c r="I50" s="657"/>
      <c r="J50" s="745"/>
      <c r="K50" s="745"/>
      <c r="L50" s="746"/>
      <c r="M50" s="747"/>
      <c r="N50" s="747"/>
      <c r="O50" s="747"/>
      <c r="P50" s="746"/>
      <c r="Q50" s="748"/>
      <c r="R50" s="657"/>
      <c r="S50" s="657"/>
      <c r="T50" s="747"/>
      <c r="U50" s="746"/>
      <c r="V50" s="747"/>
      <c r="W50" s="749"/>
      <c r="X50" s="657"/>
      <c r="Y50" s="747"/>
      <c r="Z50" s="746"/>
      <c r="AA50" s="747"/>
      <c r="AB50" s="747"/>
      <c r="AC50" s="750"/>
      <c r="AD50" s="750"/>
      <c r="AE50" s="751"/>
      <c r="AF50" s="751"/>
      <c r="AG50" s="657"/>
      <c r="AH50" s="657"/>
      <c r="AI50" s="657"/>
      <c r="AJ50" s="657"/>
      <c r="AK50" s="657"/>
      <c r="AL50" s="657"/>
      <c r="AM50" s="657"/>
    </row>
  </sheetData>
  <sheetProtection sheet="1" objects="1" scenarios="1"/>
  <mergeCells count="20">
    <mergeCell ref="AD14:AG14"/>
    <mergeCell ref="AD3:AG3"/>
    <mergeCell ref="J1:X2"/>
    <mergeCell ref="E3:F3"/>
    <mergeCell ref="G3:I3"/>
    <mergeCell ref="Y3:AA3"/>
    <mergeCell ref="O3:S3"/>
    <mergeCell ref="T3:X3"/>
    <mergeCell ref="J3:N3"/>
    <mergeCell ref="C16:D16"/>
    <mergeCell ref="C15:D15"/>
    <mergeCell ref="C5:D5"/>
    <mergeCell ref="E14:F14"/>
    <mergeCell ref="G14:I14"/>
    <mergeCell ref="G13:AA13"/>
    <mergeCell ref="C14:D14"/>
    <mergeCell ref="T14:X14"/>
    <mergeCell ref="O14:R14"/>
    <mergeCell ref="Y14:AA14"/>
    <mergeCell ref="J14:N14"/>
  </mergeCells>
  <conditionalFormatting sqref="F16">
    <cfRule type="iconSet" priority="150">
      <iconSet>
        <cfvo type="percent" val="0"/>
        <cfvo type="num" val="0.8"/>
        <cfvo type="num" val="0.9"/>
      </iconSet>
    </cfRule>
  </conditionalFormatting>
  <conditionalFormatting sqref="F16">
    <cfRule type="iconSet" priority="142">
      <iconSet reverse="1">
        <cfvo type="percent" val="0"/>
        <cfvo type="num" val="5"/>
        <cfvo type="num" val="10"/>
      </iconSet>
    </cfRule>
  </conditionalFormatting>
  <conditionalFormatting sqref="R17:R35 X17:X35 X9:X12 R8:R12">
    <cfRule type="cellIs" dxfId="79" priority="141" operator="greaterThan">
      <formula>0</formula>
    </cfRule>
  </conditionalFormatting>
  <conditionalFormatting sqref="J17:J35 T9:T12 O9:O12 J9:J12 Y8:Y12">
    <cfRule type="cellIs" dxfId="78" priority="136" operator="equal">
      <formula>0</formula>
    </cfRule>
  </conditionalFormatting>
  <conditionalFormatting sqref="Y8:Y12">
    <cfRule type="cellIs" dxfId="77" priority="138" operator="greaterThanOrEqual">
      <formula>$AA8</formula>
    </cfRule>
  </conditionalFormatting>
  <conditionalFormatting sqref="F8:F12">
    <cfRule type="iconSet" priority="130">
      <iconSet reverse="1">
        <cfvo type="percent" val="0"/>
        <cfvo type="num" val="5"/>
        <cfvo type="num" val="10"/>
      </iconSet>
    </cfRule>
  </conditionalFormatting>
  <conditionalFormatting sqref="G5:H5">
    <cfRule type="iconSet" priority="129">
      <iconSet showValue="0">
        <cfvo type="percent" val="0"/>
        <cfvo type="num" val="0"/>
        <cfvo type="num" val="1E-8"/>
      </iconSet>
    </cfRule>
  </conditionalFormatting>
  <conditionalFormatting sqref="H5">
    <cfRule type="iconSet" priority="128">
      <iconSet showValue="0">
        <cfvo type="percent" val="0"/>
        <cfvo type="num" val="0"/>
        <cfvo type="num" val="9.9999999999999995E-8"/>
      </iconSet>
    </cfRule>
  </conditionalFormatting>
  <conditionalFormatting sqref="I5">
    <cfRule type="iconSet" priority="127">
      <iconSet showValue="0">
        <cfvo type="percent" val="0"/>
        <cfvo type="num" val="0"/>
        <cfvo type="num" val="1E-8"/>
      </iconSet>
    </cfRule>
  </conditionalFormatting>
  <conditionalFormatting sqref="F5">
    <cfRule type="iconSet" priority="126">
      <iconSet>
        <cfvo type="percent" val="0"/>
        <cfvo type="num" val="0.8"/>
        <cfvo type="num" val="0.9"/>
      </iconSet>
    </cfRule>
  </conditionalFormatting>
  <conditionalFormatting sqref="F5">
    <cfRule type="iconSet" priority="125">
      <iconSet reverse="1">
        <cfvo type="percent" val="0"/>
        <cfvo type="num" val="5"/>
        <cfvo type="num" val="10"/>
      </iconSet>
    </cfRule>
  </conditionalFormatting>
  <conditionalFormatting sqref="F17:F35">
    <cfRule type="iconSet" priority="204">
      <iconSet reverse="1">
        <cfvo type="percent" val="0"/>
        <cfvo type="num" val="5"/>
        <cfvo type="num" val="10"/>
      </iconSet>
    </cfRule>
  </conditionalFormatting>
  <conditionalFormatting sqref="G16:G35">
    <cfRule type="iconSet" priority="118">
      <iconSet iconSet="3Symbols" showValue="0">
        <cfvo type="percent" val="0"/>
        <cfvo type="num" val="$G$2"/>
        <cfvo type="num" val="0"/>
      </iconSet>
    </cfRule>
  </conditionalFormatting>
  <conditionalFormatting sqref="I16:I35">
    <cfRule type="iconSet" priority="116">
      <iconSet iconSet="3Symbols" showValue="0">
        <cfvo type="percent" val="0"/>
        <cfvo type="num" val="$I$2"/>
        <cfvo type="num" val="0"/>
      </iconSet>
    </cfRule>
  </conditionalFormatting>
  <conditionalFormatting sqref="H16:H35">
    <cfRule type="iconSet" priority="111">
      <iconSet iconSet="3Symbols" showValue="0">
        <cfvo type="percent" val="0"/>
        <cfvo type="num" val="$H$2"/>
        <cfvo type="num" val="0"/>
      </iconSet>
    </cfRule>
  </conditionalFormatting>
  <conditionalFormatting sqref="G5 G8:G12">
    <cfRule type="iconSet" priority="104">
      <iconSet iconSet="3Symbols" showValue="0">
        <cfvo type="percent" val="0"/>
        <cfvo type="num" val="$G$2"/>
        <cfvo type="num" val="0"/>
      </iconSet>
    </cfRule>
  </conditionalFormatting>
  <conditionalFormatting sqref="H5 H8:H12">
    <cfRule type="iconSet" priority="103">
      <iconSet iconSet="3Symbols" showValue="0">
        <cfvo type="percent" val="0"/>
        <cfvo type="num" val="$H$2"/>
        <cfvo type="num" val="0"/>
      </iconSet>
    </cfRule>
  </conditionalFormatting>
  <conditionalFormatting sqref="H5:I5">
    <cfRule type="iconSet" priority="97">
      <iconSet showValue="0">
        <cfvo type="percent" val="0"/>
        <cfvo type="num" val="-1.0000000000000001E-5"/>
        <cfvo type="num" val="0"/>
      </iconSet>
    </cfRule>
  </conditionalFormatting>
  <conditionalFormatting sqref="G5">
    <cfRule type="iconSet" priority="96">
      <iconSet iconSet="3Symbols" showValue="0">
        <cfvo type="percent" val="0"/>
        <cfvo type="num" val="$G$2"/>
        <cfvo type="num" val="0"/>
      </iconSet>
    </cfRule>
  </conditionalFormatting>
  <conditionalFormatting sqref="H5">
    <cfRule type="iconSet" priority="95">
      <iconSet iconSet="3Symbols" showValue="0">
        <cfvo type="percent" val="0"/>
        <cfvo type="num" val="$G$2"/>
        <cfvo type="num" val="0"/>
      </iconSet>
    </cfRule>
  </conditionalFormatting>
  <conditionalFormatting sqref="I5">
    <cfRule type="iconSet" priority="94">
      <iconSet iconSet="3Symbols" showValue="0">
        <cfvo type="percent" val="0"/>
        <cfvo type="num" val="$G$2"/>
        <cfvo type="num" val="0"/>
      </iconSet>
    </cfRule>
  </conditionalFormatting>
  <conditionalFormatting sqref="I5">
    <cfRule type="iconSet" priority="90">
      <iconSet iconSet="3Symbols" showValue="0">
        <cfvo type="percent" val="0"/>
        <cfvo type="num" val="$I$2"/>
        <cfvo type="num" val="0"/>
      </iconSet>
    </cfRule>
  </conditionalFormatting>
  <conditionalFormatting sqref="H5">
    <cfRule type="iconSet" priority="89">
      <iconSet iconSet="3Symbols" showValue="0">
        <cfvo type="percent" val="0"/>
        <cfvo type="num" val="$H$2"/>
        <cfvo type="num" val="0"/>
      </iconSet>
    </cfRule>
  </conditionalFormatting>
  <conditionalFormatting sqref="I5 I8:I12">
    <cfRule type="iconSet" priority="84">
      <iconSet iconSet="3Symbols" showValue="0">
        <cfvo type="percent" val="0"/>
        <cfvo type="num" val="$I$2"/>
        <cfvo type="num" val="0"/>
      </iconSet>
    </cfRule>
  </conditionalFormatting>
  <conditionalFormatting sqref="E5:E7">
    <cfRule type="iconSet" priority="81">
      <iconSet iconSet="4Rating" showValue="0">
        <cfvo type="percent" val="0"/>
        <cfvo type="num" val="0.25"/>
        <cfvo type="num" val="0.5"/>
        <cfvo type="num" val="0.9"/>
      </iconSet>
    </cfRule>
  </conditionalFormatting>
  <conditionalFormatting sqref="G5">
    <cfRule type="iconSet" priority="80">
      <iconSet showValue="0">
        <cfvo type="percent" val="0"/>
        <cfvo type="num" val="0"/>
        <cfvo type="num" val="9.9999999999999995E-8"/>
      </iconSet>
    </cfRule>
  </conditionalFormatting>
  <conditionalFormatting sqref="G5">
    <cfRule type="iconSet" priority="78">
      <iconSet showValue="0">
        <cfvo type="percent" val="0"/>
        <cfvo type="num" val="-1.0000000000000001E-5"/>
        <cfvo type="num" val="0"/>
      </iconSet>
    </cfRule>
  </conditionalFormatting>
  <conditionalFormatting sqref="G5">
    <cfRule type="iconSet" priority="76">
      <iconSet iconSet="3Symbols" showValue="0">
        <cfvo type="percent" val="0"/>
        <cfvo type="num" val="$H$2"/>
        <cfvo type="num" val="0"/>
      </iconSet>
    </cfRule>
  </conditionalFormatting>
  <conditionalFormatting sqref="AB8:AB12">
    <cfRule type="colorScale" priority="75">
      <colorScale>
        <cfvo type="min"/>
        <cfvo type="max"/>
        <color theme="0"/>
        <color theme="5" tint="0.59999389629810485"/>
      </colorScale>
    </cfRule>
  </conditionalFormatting>
  <conditionalFormatting sqref="AB17:AB35">
    <cfRule type="colorScale" priority="74">
      <colorScale>
        <cfvo type="min"/>
        <cfvo type="max"/>
        <color theme="0"/>
        <color theme="5" tint="0.59999389629810485"/>
      </colorScale>
    </cfRule>
  </conditionalFormatting>
  <conditionalFormatting sqref="O17:O35 T17:T35 Y17:Y35 J17:J35 T9:T12 O9:O12 J9:J12 Y8:Y12">
    <cfRule type="cellIs" dxfId="76" priority="155" operator="equal">
      <formula>0</formula>
    </cfRule>
    <cfRule type="cellIs" dxfId="75" priority="156" operator="greaterThanOrEqual">
      <formula>L8</formula>
    </cfRule>
  </conditionalFormatting>
  <conditionalFormatting sqref="J9:J12">
    <cfRule type="cellIs" dxfId="74" priority="72" operator="lessThan">
      <formula>$K9</formula>
    </cfRule>
    <cfRule type="cellIs" dxfId="73" priority="73" operator="greaterThan">
      <formula>$K9</formula>
    </cfRule>
  </conditionalFormatting>
  <conditionalFormatting sqref="J17:J35">
    <cfRule type="cellIs" dxfId="72" priority="69" operator="lessThan">
      <formula>$K17</formula>
    </cfRule>
    <cfRule type="cellIs" dxfId="71" priority="70" operator="greaterThan">
      <formula>$K17</formula>
    </cfRule>
  </conditionalFormatting>
  <conditionalFormatting sqref="AC17:AC35">
    <cfRule type="top10" dxfId="70" priority="67" percent="1" bottom="1" rank="20"/>
    <cfRule type="top10" dxfId="69" priority="68" percent="1" rank="20"/>
  </conditionalFormatting>
  <conditionalFormatting sqref="AC8:AC12">
    <cfRule type="top10" dxfId="68" priority="65" percent="1" bottom="1" rank="40"/>
    <cfRule type="top10" dxfId="67" priority="66" percent="1" rank="40"/>
  </conditionalFormatting>
  <conditionalFormatting sqref="AD8:AD12">
    <cfRule type="top10" dxfId="66" priority="57" percent="1" bottom="1" rank="40"/>
    <cfRule type="top10" dxfId="65" priority="58" percent="1" rank="40"/>
  </conditionalFormatting>
  <conditionalFormatting sqref="J16">
    <cfRule type="cellIs" dxfId="64" priority="56" operator="greaterThan">
      <formula>L16</formula>
    </cfRule>
    <cfRule type="cellIs" dxfId="63" priority="55" operator="lessThan">
      <formula>L16</formula>
    </cfRule>
  </conditionalFormatting>
  <conditionalFormatting sqref="R16">
    <cfRule type="cellIs" dxfId="62" priority="54" operator="greaterThan">
      <formula>0</formula>
    </cfRule>
    <cfRule type="cellIs" dxfId="61" priority="53" operator="lessThan">
      <formula>0</formula>
    </cfRule>
  </conditionalFormatting>
  <conditionalFormatting sqref="O16">
    <cfRule type="cellIs" dxfId="60" priority="52" operator="greaterThan">
      <formula>Q16</formula>
    </cfRule>
    <cfRule type="cellIs" dxfId="59" priority="51" operator="lessThan">
      <formula>Q16</formula>
    </cfRule>
  </conditionalFormatting>
  <conditionalFormatting sqref="T16">
    <cfRule type="cellIs" dxfId="58" priority="50" operator="greaterThan">
      <formula>V16</formula>
    </cfRule>
    <cfRule type="cellIs" dxfId="57" priority="49" operator="lessThan">
      <formula>V16</formula>
    </cfRule>
  </conditionalFormatting>
  <conditionalFormatting sqref="F6:F7">
    <cfRule type="iconSet" priority="48">
      <iconSet iconSet="4Rating" showValue="0">
        <cfvo type="percent" val="0"/>
        <cfvo type="num" val="0.25"/>
        <cfvo type="num" val="0.5"/>
        <cfvo type="num" val="0.9"/>
      </iconSet>
    </cfRule>
  </conditionalFormatting>
  <conditionalFormatting sqref="J7">
    <cfRule type="cellIs" dxfId="56" priority="32" operator="lessThan">
      <formula>$L$7</formula>
    </cfRule>
    <cfRule type="cellIs" dxfId="55" priority="33" operator="greaterThan">
      <formula>$L$7</formula>
    </cfRule>
  </conditionalFormatting>
  <conditionalFormatting sqref="R7">
    <cfRule type="cellIs" dxfId="54" priority="30" operator="lessThan">
      <formula>0</formula>
    </cfRule>
    <cfRule type="cellIs" dxfId="53" priority="31" operator="greaterThan">
      <formula>0</formula>
    </cfRule>
  </conditionalFormatting>
  <conditionalFormatting sqref="O7">
    <cfRule type="cellIs" dxfId="52" priority="28" operator="lessThan">
      <formula>$Q$7</formula>
    </cfRule>
    <cfRule type="cellIs" dxfId="51" priority="29" operator="greaterThan">
      <formula>$Q$7</formula>
    </cfRule>
  </conditionalFormatting>
  <conditionalFormatting sqref="T7">
    <cfRule type="cellIs" dxfId="50" priority="26" operator="lessThan">
      <formula>$V$16</formula>
    </cfRule>
    <cfRule type="cellIs" dxfId="49" priority="27" operator="greaterThan">
      <formula>$V$16</formula>
    </cfRule>
  </conditionalFormatting>
  <conditionalFormatting sqref="J6">
    <cfRule type="cellIs" dxfId="48" priority="21" operator="lessThan">
      <formula>$L$6</formula>
    </cfRule>
    <cfRule type="cellIs" dxfId="47" priority="22" operator="greaterThan">
      <formula>$L$6</formula>
    </cfRule>
  </conditionalFormatting>
  <conditionalFormatting sqref="R6">
    <cfRule type="cellIs" dxfId="46" priority="19" operator="lessThan">
      <formula>0</formula>
    </cfRule>
    <cfRule type="cellIs" dxfId="45" priority="20" operator="greaterThan">
      <formula>0</formula>
    </cfRule>
  </conditionalFormatting>
  <conditionalFormatting sqref="T6">
    <cfRule type="cellIs" dxfId="44" priority="15" operator="lessThan">
      <formula>$V$16</formula>
    </cfRule>
    <cfRule type="cellIs" dxfId="43" priority="16" operator="greaterThan">
      <formula>$V$16</formula>
    </cfRule>
  </conditionalFormatting>
  <conditionalFormatting sqref="G7">
    <cfRule type="iconSet" priority="11">
      <iconSet iconSet="3Symbols" showValue="0">
        <cfvo type="percent" val="0"/>
        <cfvo type="num" val="$G$2"/>
        <cfvo type="num" val="0"/>
      </iconSet>
    </cfRule>
  </conditionalFormatting>
  <conditionalFormatting sqref="I7">
    <cfRule type="iconSet" priority="10">
      <iconSet iconSet="3Symbols" showValue="0">
        <cfvo type="percent" val="0"/>
        <cfvo type="num" val="$I$2"/>
        <cfvo type="num" val="0"/>
      </iconSet>
    </cfRule>
  </conditionalFormatting>
  <conditionalFormatting sqref="H7">
    <cfRule type="iconSet" priority="9">
      <iconSet iconSet="3Symbols" showValue="0">
        <cfvo type="percent" val="0"/>
        <cfvo type="num" val="$H$2"/>
        <cfvo type="num" val="0"/>
      </iconSet>
    </cfRule>
  </conditionalFormatting>
  <conditionalFormatting sqref="G6">
    <cfRule type="iconSet" priority="8">
      <iconSet iconSet="3Symbols" showValue="0">
        <cfvo type="percent" val="0"/>
        <cfvo type="num" val="$G$2"/>
        <cfvo type="num" val="0"/>
      </iconSet>
    </cfRule>
  </conditionalFormatting>
  <conditionalFormatting sqref="I6">
    <cfRule type="iconSet" priority="7">
      <iconSet iconSet="3Symbols" showValue="0">
        <cfvo type="percent" val="0"/>
        <cfvo type="num" val="$I$2"/>
        <cfvo type="num" val="0"/>
      </iconSet>
    </cfRule>
  </conditionalFormatting>
  <conditionalFormatting sqref="H6">
    <cfRule type="iconSet" priority="6">
      <iconSet iconSet="3Symbols" showValue="0">
        <cfvo type="percent" val="0"/>
        <cfvo type="num" val="$H$2"/>
        <cfvo type="num" val="0"/>
      </iconSet>
    </cfRule>
  </conditionalFormatting>
  <conditionalFormatting sqref="O6">
    <cfRule type="cellIs" dxfId="42" priority="4" operator="lessThan">
      <formula>$Q$6</formula>
    </cfRule>
    <cfRule type="cellIs" dxfId="41" priority="5" operator="greaterThan">
      <formula>$Q$6</formula>
    </cfRule>
  </conditionalFormatting>
  <conditionalFormatting sqref="X16 X5:X7">
    <cfRule type="cellIs" dxfId="40" priority="3" operator="greaterThan">
      <formula>0</formula>
    </cfRule>
  </conditionalFormatting>
  <conditionalFormatting sqref="X16 X5:X7">
    <cfRule type="cellIs" dxfId="39" priority="2" operator="lessThan">
      <formula>0</formula>
    </cfRule>
  </conditionalFormatting>
  <conditionalFormatting sqref="X16 X5:X7">
    <cfRule type="cellIs" dxfId="38" priority="1" operator="equal">
      <formula>0</formula>
    </cfRule>
  </conditionalFormatting>
  <printOptions horizontalCentered="1" verticalCentered="1"/>
  <pageMargins left="0" right="0" top="0" bottom="0" header="0" footer="0"/>
  <pageSetup paperSize="9"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pinner 1">
              <controlPr defaultSize="0" autoPict="0" macro="[0]!regionTotalNy">
                <anchor moveWithCells="1" sizeWithCells="1">
                  <from>
                    <xdr:col>4</xdr:col>
                    <xdr:colOff>9525</xdr:colOff>
                    <xdr:row>0</xdr:row>
                    <xdr:rowOff>295275</xdr:rowOff>
                  </from>
                  <to>
                    <xdr:col>4</xdr:col>
                    <xdr:colOff>228600</xdr:colOff>
                    <xdr:row>2</xdr:row>
                    <xdr:rowOff>0</xdr:rowOff>
                  </to>
                </anchor>
              </controlPr>
            </control>
          </mc:Choice>
        </mc:AlternateContent>
        <mc:AlternateContent xmlns:mc="http://schemas.openxmlformats.org/markup-compatibility/2006">
          <mc:Choice Requires="x14">
            <control shapeId="29717" r:id="rId5" name="Option Button 21">
              <controlPr defaultSize="0" autoFill="0" autoLine="0" autoPict="0" macro="[0]!GetMyRegion">
                <anchor>
                  <from>
                    <xdr:col>14</xdr:col>
                    <xdr:colOff>514350</xdr:colOff>
                    <xdr:row>0</xdr:row>
                    <xdr:rowOff>47625</xdr:rowOff>
                  </from>
                  <to>
                    <xdr:col>19</xdr:col>
                    <xdr:colOff>419100</xdr:colOff>
                    <xdr:row>0</xdr:row>
                    <xdr:rowOff>257175</xdr:rowOff>
                  </to>
                </anchor>
              </controlPr>
            </control>
          </mc:Choice>
        </mc:AlternateContent>
        <mc:AlternateContent xmlns:mc="http://schemas.openxmlformats.org/markup-compatibility/2006">
          <mc:Choice Requires="x14">
            <control shapeId="29718" r:id="rId6" name="Option Button 22">
              <controlPr defaultSize="0" autoFill="0" autoLine="0" autoPict="0" macro="[0]!GetMyRegion">
                <anchor>
                  <from>
                    <xdr:col>14</xdr:col>
                    <xdr:colOff>514350</xdr:colOff>
                    <xdr:row>0</xdr:row>
                    <xdr:rowOff>238125</xdr:rowOff>
                  </from>
                  <to>
                    <xdr:col>19</xdr:col>
                    <xdr:colOff>419100</xdr:colOff>
                    <xdr:row>1</xdr:row>
                    <xdr:rowOff>142875</xdr:rowOff>
                  </to>
                </anchor>
              </controlPr>
            </control>
          </mc:Choice>
        </mc:AlternateContent>
        <mc:AlternateContent xmlns:mc="http://schemas.openxmlformats.org/markup-compatibility/2006">
          <mc:Choice Requires="x14">
            <control shapeId="29778" r:id="rId7" name="Drop Down 82">
              <controlPr defaultSize="0" autoLine="0" autoPict="0" macro="[0]!GetStoresInDistrict2">
                <anchor moveWithCells="1">
                  <from>
                    <xdr:col>0</xdr:col>
                    <xdr:colOff>0</xdr:colOff>
                    <xdr:row>15</xdr:row>
                    <xdr:rowOff>28575</xdr:rowOff>
                  </from>
                  <to>
                    <xdr:col>3</xdr:col>
                    <xdr:colOff>1219200</xdr:colOff>
                    <xdr:row>15</xdr:row>
                    <xdr:rowOff>361950</xdr:rowOff>
                  </to>
                </anchor>
              </controlPr>
            </control>
          </mc:Choice>
        </mc:AlternateContent>
        <mc:AlternateContent xmlns:mc="http://schemas.openxmlformats.org/markup-compatibility/2006">
          <mc:Choice Requires="x14">
            <control shapeId="134613" r:id="rId8" name="Option Button 11">
              <controlPr locked="0" defaultSize="0" autoFill="0" autoLine="0" autoPict="0" macro="[0]!regionTotalNy">
                <anchor moveWithCells="1">
                  <from>
                    <xdr:col>11</xdr:col>
                    <xdr:colOff>95250</xdr:colOff>
                    <xdr:row>0</xdr:row>
                    <xdr:rowOff>276225</xdr:rowOff>
                  </from>
                  <to>
                    <xdr:col>12</xdr:col>
                    <xdr:colOff>19050</xdr:colOff>
                    <xdr:row>1</xdr:row>
                    <xdr:rowOff>190500</xdr:rowOff>
                  </to>
                </anchor>
              </controlPr>
            </control>
          </mc:Choice>
        </mc:AlternateContent>
        <mc:AlternateContent xmlns:mc="http://schemas.openxmlformats.org/markup-compatibility/2006">
          <mc:Choice Requires="x14">
            <control shapeId="134650" r:id="rId9" name="Option Button 12">
              <controlPr locked="0" defaultSize="0" autoFill="0" autoLine="0" autoPict="0" macro="[0]!regionTotalNy">
                <anchor moveWithCells="1">
                  <from>
                    <xdr:col>11</xdr:col>
                    <xdr:colOff>85725</xdr:colOff>
                    <xdr:row>0</xdr:row>
                    <xdr:rowOff>28575</xdr:rowOff>
                  </from>
                  <to>
                    <xdr:col>12</xdr:col>
                    <xdr:colOff>9525</xdr:colOff>
                    <xdr:row>0</xdr:row>
                    <xdr:rowOff>247650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2" tint="-0.499984740745262"/>
    <pageSetUpPr fitToPage="1"/>
  </sheetPr>
  <dimension ref="A1:AB100"/>
  <sheetViews>
    <sheetView topLeftCell="C1" zoomScaleNormal="100" workbookViewId="0">
      <pane ySplit="6" topLeftCell="A25" activePane="bottomLeft" state="frozenSplit"/>
      <selection activeCell="C1" sqref="C1"/>
      <selection pane="bottomLeft" activeCell="D7" sqref="D7:D95"/>
    </sheetView>
  </sheetViews>
  <sheetFormatPr baseColWidth="10" defaultColWidth="8.140625" defaultRowHeight="15"/>
  <cols>
    <col min="1" max="1" width="8.140625" hidden="1" customWidth="1"/>
    <col min="2" max="2" width="11.7109375" hidden="1" customWidth="1"/>
    <col min="3" max="3" width="6.85546875" style="3" customWidth="1"/>
    <col min="4" max="4" width="20" bestFit="1" customWidth="1"/>
    <col min="5" max="5" width="6.140625" customWidth="1"/>
    <col min="6" max="6" width="6.140625" style="6" customWidth="1"/>
    <col min="7" max="7" width="4.5703125" style="3" customWidth="1"/>
    <col min="8" max="9" width="4.5703125" customWidth="1"/>
    <col min="10" max="10" width="9.140625" style="1" bestFit="1" customWidth="1"/>
    <col min="11" max="11" width="11.5703125" style="1" hidden="1" customWidth="1"/>
    <col min="12" max="12" width="9.5703125" style="2" bestFit="1" customWidth="1"/>
    <col min="13" max="13" width="7.42578125" style="326" customWidth="1"/>
    <col min="14" max="14" width="9.7109375" style="2" hidden="1" customWidth="1"/>
    <col min="15" max="15" width="8.5703125" style="326" bestFit="1" customWidth="1"/>
    <col min="16" max="16" width="12.5703125" style="2" hidden="1" customWidth="1"/>
    <col min="17" max="17" width="7.5703125" style="333" bestFit="1" customWidth="1"/>
    <col min="18" max="18" width="8" customWidth="1"/>
    <col min="19" max="19" width="12.42578125" hidden="1" customWidth="1"/>
    <col min="20" max="20" width="8.5703125" style="326" bestFit="1" customWidth="1"/>
    <col min="21" max="21" width="8.7109375" style="2" hidden="1" customWidth="1"/>
    <col min="22" max="22" width="6.28515625" style="326" bestFit="1" customWidth="1"/>
    <col min="23" max="23" width="7.42578125" style="238" hidden="1" customWidth="1"/>
    <col min="24" max="24" width="8.28515625" bestFit="1" customWidth="1"/>
    <col min="25" max="25" width="8.28515625" style="326" customWidth="1"/>
    <col min="26" max="26" width="9" style="2" hidden="1" customWidth="1"/>
    <col min="27" max="27" width="6.28515625" style="326" bestFit="1" customWidth="1"/>
    <col min="28" max="28" width="60.28515625" customWidth="1"/>
  </cols>
  <sheetData>
    <row r="1" spans="1:28" ht="24" customHeight="1">
      <c r="A1" s="80"/>
      <c r="B1" s="77"/>
      <c r="C1" s="79" t="str">
        <f>sysX!A2</f>
        <v>4301</v>
      </c>
      <c r="D1" s="79" t="str">
        <f>sysX!A4</f>
        <v>BERJASEN</v>
      </c>
      <c r="E1" s="81" t="str">
        <f>sysX!A6</f>
        <v>2019</v>
      </c>
      <c r="F1" s="77"/>
      <c r="G1" s="903" t="s">
        <v>42</v>
      </c>
      <c r="H1" s="903"/>
      <c r="I1" s="903"/>
      <c r="J1" s="903"/>
      <c r="K1" s="903"/>
      <c r="L1" s="903"/>
      <c r="M1" s="903"/>
      <c r="N1" s="903"/>
      <c r="O1" s="903"/>
      <c r="P1" s="903"/>
      <c r="Q1" s="903"/>
      <c r="R1" s="903"/>
      <c r="S1" s="903"/>
      <c r="T1" s="903"/>
      <c r="U1" s="903"/>
      <c r="V1" s="903"/>
      <c r="W1" s="903"/>
      <c r="X1" s="903"/>
      <c r="Y1" s="903"/>
      <c r="Z1" s="903"/>
      <c r="AA1" s="903"/>
      <c r="AB1" s="77"/>
    </row>
    <row r="2" spans="1:28" ht="15.75" customHeight="1" thickBot="1">
      <c r="C2" s="87" t="s">
        <v>0</v>
      </c>
      <c r="D2" s="88">
        <v>38</v>
      </c>
      <c r="E2" s="77"/>
      <c r="F2" s="82"/>
      <c r="G2" s="903"/>
      <c r="H2" s="903"/>
      <c r="I2" s="903"/>
      <c r="J2" s="903"/>
      <c r="K2" s="903"/>
      <c r="L2" s="903"/>
      <c r="M2" s="903"/>
      <c r="N2" s="903"/>
      <c r="O2" s="903"/>
      <c r="P2" s="903"/>
      <c r="Q2" s="903"/>
      <c r="R2" s="903"/>
      <c r="S2" s="903"/>
      <c r="T2" s="903"/>
      <c r="U2" s="903"/>
      <c r="V2" s="903"/>
      <c r="W2" s="903"/>
      <c r="X2" s="903"/>
      <c r="Y2" s="903"/>
      <c r="Z2" s="903"/>
      <c r="AA2" s="903"/>
      <c r="AB2" s="77"/>
    </row>
    <row r="3" spans="1:28" ht="15.75" hidden="1" thickBot="1">
      <c r="L3" s="5"/>
      <c r="M3" s="321">
        <v>8</v>
      </c>
      <c r="N3" s="5"/>
      <c r="O3" s="321">
        <v>6</v>
      </c>
      <c r="P3" s="5"/>
      <c r="Q3" s="331">
        <v>7</v>
      </c>
      <c r="R3" s="4"/>
      <c r="S3" s="4"/>
      <c r="T3" s="321">
        <v>4</v>
      </c>
      <c r="U3" s="5"/>
      <c r="V3" s="321"/>
      <c r="W3" s="234"/>
      <c r="X3" s="4"/>
      <c r="Y3" s="321">
        <v>5</v>
      </c>
      <c r="Z3" s="5"/>
      <c r="AA3" s="321"/>
      <c r="AB3" s="4">
        <v>9</v>
      </c>
    </row>
    <row r="4" spans="1:28" s="119" customFormat="1" ht="15.75" thickBot="1">
      <c r="C4" s="150"/>
      <c r="D4" s="151"/>
      <c r="E4" s="904" t="s">
        <v>11</v>
      </c>
      <c r="F4" s="905"/>
      <c r="G4" s="909" t="s">
        <v>14</v>
      </c>
      <c r="H4" s="909"/>
      <c r="I4" s="905"/>
      <c r="J4" s="906" t="s">
        <v>13</v>
      </c>
      <c r="K4" s="907"/>
      <c r="L4" s="907"/>
      <c r="M4" s="908"/>
      <c r="N4" s="152"/>
      <c r="O4" s="904" t="s">
        <v>5</v>
      </c>
      <c r="P4" s="909"/>
      <c r="Q4" s="909"/>
      <c r="R4" s="909"/>
      <c r="S4" s="151"/>
      <c r="T4" s="904" t="s">
        <v>6</v>
      </c>
      <c r="U4" s="909"/>
      <c r="V4" s="905"/>
      <c r="W4" s="235"/>
      <c r="X4" s="151"/>
      <c r="Y4" s="904" t="s">
        <v>7</v>
      </c>
      <c r="Z4" s="909"/>
      <c r="AA4" s="905"/>
      <c r="AB4" s="910" t="s">
        <v>10</v>
      </c>
    </row>
    <row r="5" spans="1:28" s="205" customFormat="1" ht="26.25" customHeight="1" thickBot="1">
      <c r="A5" s="191"/>
      <c r="B5" s="191"/>
      <c r="C5" s="192" t="s">
        <v>40</v>
      </c>
      <c r="D5" s="193" t="s">
        <v>41</v>
      </c>
      <c r="E5" s="194" t="s">
        <v>12</v>
      </c>
      <c r="F5" s="195" t="s">
        <v>45</v>
      </c>
      <c r="G5" s="206" t="s">
        <v>8</v>
      </c>
      <c r="H5" s="207" t="s">
        <v>5</v>
      </c>
      <c r="I5" s="208" t="s">
        <v>6</v>
      </c>
      <c r="J5" s="196" t="s">
        <v>2</v>
      </c>
      <c r="K5" s="197"/>
      <c r="L5" s="198" t="s">
        <v>1</v>
      </c>
      <c r="M5" s="334" t="s">
        <v>44</v>
      </c>
      <c r="N5" s="200"/>
      <c r="O5" s="322" t="s">
        <v>4</v>
      </c>
      <c r="P5" s="200"/>
      <c r="Q5" s="332" t="s">
        <v>3</v>
      </c>
      <c r="R5" s="203" t="s">
        <v>43</v>
      </c>
      <c r="S5" s="203"/>
      <c r="T5" s="322" t="s">
        <v>4</v>
      </c>
      <c r="U5" s="200"/>
      <c r="V5" s="327" t="s">
        <v>3</v>
      </c>
      <c r="W5" s="236"/>
      <c r="X5" s="203" t="s">
        <v>43</v>
      </c>
      <c r="Y5" s="322" t="s">
        <v>4</v>
      </c>
      <c r="Z5" s="200"/>
      <c r="AA5" s="327" t="s">
        <v>3</v>
      </c>
      <c r="AB5" s="911"/>
    </row>
    <row r="6" spans="1:28" s="167" customFormat="1" ht="33.75" customHeight="1" thickBot="1">
      <c r="A6" s="153"/>
      <c r="B6" s="153"/>
      <c r="C6" s="154"/>
      <c r="D6" s="155"/>
      <c r="E6" s="156">
        <f>SUM(E7:E20)</f>
        <v>0</v>
      </c>
      <c r="F6" s="157">
        <f>IFERROR(AVERAGE(F7:F70),0)</f>
        <v>0</v>
      </c>
      <c r="G6" s="158">
        <f>IFERROR(IF(J6=0,0,J6-L6),0)</f>
        <v>-6158885.4717000052</v>
      </c>
      <c r="H6" s="159">
        <f>IFERROR(IF(O6=0,0,O6-Q6),0)</f>
        <v>-1.5149260504269638E-2</v>
      </c>
      <c r="I6" s="160">
        <f>IFERROR(T6-V6,0)</f>
        <v>-8.6358724842537041E-3</v>
      </c>
      <c r="J6" s="161">
        <f>SUM(J7:J100)</f>
        <v>59498398</v>
      </c>
      <c r="K6" s="162"/>
      <c r="L6" s="163">
        <f>SUM(K7:K100)</f>
        <v>65657283.471700005</v>
      </c>
      <c r="M6" s="335">
        <f>IFERROR(SUM(N7:N100)/J6,0)</f>
        <v>0.21610785218116293</v>
      </c>
      <c r="N6" s="164"/>
      <c r="O6" s="323">
        <f>IFERROR(SUM(P7:P100)/J6,0)</f>
        <v>-0.12012108292394696</v>
      </c>
      <c r="P6" s="164">
        <f>SUM(P7:P20)</f>
        <v>-2632482</v>
      </c>
      <c r="Q6" s="328">
        <f>IFERROR(SUM(S7:S100)/L6,0)</f>
        <v>-0.10497182241967733</v>
      </c>
      <c r="R6" s="164">
        <f>(Q6*J6)-(O6*J6)</f>
        <v>901356.73088871501</v>
      </c>
      <c r="S6" s="165"/>
      <c r="T6" s="323">
        <f>IFERROR(SUM(U7:U100)/J6,0)</f>
        <v>-2.4014646579223864E-2</v>
      </c>
      <c r="U6" s="164"/>
      <c r="V6" s="328">
        <f>IFERROR(SUM(W7:W100)/J6,0)</f>
        <v>-1.537877409497016E-2</v>
      </c>
      <c r="W6" s="237"/>
      <c r="X6" s="231">
        <f>SUM(X7:X100)</f>
        <v>513820.57814537559</v>
      </c>
      <c r="Y6" s="323">
        <f>IFERROR(SUM(Z7:Z100)/J6,0)</f>
        <v>-4.7453714636148687E-3</v>
      </c>
      <c r="Z6" s="164"/>
      <c r="AA6" s="328">
        <v>-3.0000000000000001E-3</v>
      </c>
      <c r="AB6" s="166"/>
    </row>
    <row r="7" spans="1:28" s="179" customFormat="1" ht="12" customHeight="1">
      <c r="A7" s="168"/>
      <c r="B7" s="168"/>
      <c r="C7" s="169" t="s">
        <v>75</v>
      </c>
      <c r="D7" s="170" t="s">
        <v>76</v>
      </c>
      <c r="E7" s="171"/>
      <c r="F7" s="157"/>
      <c r="G7" s="172">
        <f t="shared" ref="G7:G20" si="0">IFERROR(IF(J7=0,"",J7-L7),0)</f>
        <v>19166</v>
      </c>
      <c r="H7" s="172">
        <f>IFERROR(IF(O7=0,"",O7-Q7),0)</f>
        <v>4.4598263911488356E-4</v>
      </c>
      <c r="I7" s="173">
        <f>IFERROR(IF(J7=0,"",T7-V7),"")</f>
        <v>-2.1333725875838025E-3</v>
      </c>
      <c r="J7" s="174">
        <v>579166</v>
      </c>
      <c r="K7" s="175">
        <f>IF(J7=0,0,L7)</f>
        <v>560000</v>
      </c>
      <c r="L7" s="176">
        <v>560000</v>
      </c>
      <c r="M7" s="336">
        <v>0.30858908946500563</v>
      </c>
      <c r="N7" s="177">
        <v>178725</v>
      </c>
      <c r="O7" s="324">
        <v>-0.12355201022161215</v>
      </c>
      <c r="P7" s="177">
        <v>-71556</v>
      </c>
      <c r="Q7" s="329">
        <v>-0.12399799286072703</v>
      </c>
      <c r="R7" s="298">
        <f>(Q7*J7)-(O7*J7)</f>
        <v>-258.29798116561142</v>
      </c>
      <c r="S7" s="177">
        <f>IFERROR(Q7*K7,"")</f>
        <v>-69438.876002007135</v>
      </c>
      <c r="T7" s="324">
        <v>-1.7131560090820404E-2</v>
      </c>
      <c r="U7" s="177">
        <v>-9921</v>
      </c>
      <c r="V7" s="329">
        <v>-1.4998187503236601E-2</v>
      </c>
      <c r="W7" s="233">
        <f>IF(J7="","",V7*J7)</f>
        <v>-8686.4402634995295</v>
      </c>
      <c r="X7" s="298">
        <f>IFERROR(W7-U7,"")</f>
        <v>1234.5597365004705</v>
      </c>
      <c r="Y7" s="324">
        <v>-5.9015997168337178E-3</v>
      </c>
      <c r="Z7" s="177">
        <v>-3417</v>
      </c>
      <c r="AA7" s="329">
        <v>-2.9982089317697647E-3</v>
      </c>
      <c r="AB7" s="178" t="s">
        <v>163</v>
      </c>
    </row>
    <row r="8" spans="1:28" s="179" customFormat="1" ht="12" customHeight="1">
      <c r="A8" s="168"/>
      <c r="B8" s="168"/>
      <c r="C8" s="180" t="s">
        <v>77</v>
      </c>
      <c r="D8" s="181" t="s">
        <v>78</v>
      </c>
      <c r="E8" s="182"/>
      <c r="F8" s="183"/>
      <c r="G8" s="184">
        <f t="shared" si="0"/>
        <v>-148342</v>
      </c>
      <c r="H8" s="184">
        <f t="shared" ref="H8:H29" si="1">IFERROR(IF(O8=0,"",O8-Q8),0)</f>
        <v>-1.582865886567561E-2</v>
      </c>
      <c r="I8" s="185">
        <f t="shared" ref="I8:I29" si="2">IFERROR(IF(J8=0,"",T8-V8),"")</f>
        <v>4.9162676958118719E-4</v>
      </c>
      <c r="J8" s="186">
        <v>651658</v>
      </c>
      <c r="K8" s="187">
        <f t="shared" ref="K8:K70" si="3">IF(J8=0,0,L8)</f>
        <v>800000</v>
      </c>
      <c r="L8" s="188">
        <v>800000</v>
      </c>
      <c r="M8" s="337">
        <v>0.27126233586073656</v>
      </c>
      <c r="N8" s="189">
        <v>176771</v>
      </c>
      <c r="O8" s="325">
        <v>-0.12881776762928965</v>
      </c>
      <c r="P8" s="189">
        <v>-83944</v>
      </c>
      <c r="Q8" s="330">
        <v>-0.11298910876361404</v>
      </c>
      <c r="R8" s="299">
        <f t="shared" ref="R8:R29" si="4">(Q8*J8)-(O8*J8)</f>
        <v>10314.87217908843</v>
      </c>
      <c r="S8" s="189">
        <f t="shared" ref="S8:S29" si="5">IFERROR(Q8*K8,"")</f>
        <v>-90391.287010891232</v>
      </c>
      <c r="T8" s="325">
        <v>-1.3507105732003186E-2</v>
      </c>
      <c r="U8" s="189">
        <v>-8801</v>
      </c>
      <c r="V8" s="330">
        <v>-1.3998732501584373E-2</v>
      </c>
      <c r="W8" s="233">
        <f t="shared" ref="W8:W70" si="6">IF(J8="","",V8*J8)</f>
        <v>-9122.3860245174692</v>
      </c>
      <c r="X8" s="299">
        <f t="shared" ref="X8:X70" si="7">IFERROR(W8-U8,"")</f>
        <v>-321.3860245174692</v>
      </c>
      <c r="Y8" s="325">
        <v>-5.863514087932762E-3</v>
      </c>
      <c r="Z8" s="189">
        <v>-3820</v>
      </c>
      <c r="AA8" s="330">
        <v>-2.9987462515671855E-3</v>
      </c>
      <c r="AB8" s="190" t="s">
        <v>164</v>
      </c>
    </row>
    <row r="9" spans="1:28" s="179" customFormat="1" ht="12" customHeight="1">
      <c r="A9" s="168"/>
      <c r="B9" s="168"/>
      <c r="C9" s="180" t="s">
        <v>79</v>
      </c>
      <c r="D9" s="181" t="s">
        <v>80</v>
      </c>
      <c r="E9" s="182"/>
      <c r="F9" s="183"/>
      <c r="G9" s="184">
        <f t="shared" si="0"/>
        <v>-590432</v>
      </c>
      <c r="H9" s="184">
        <f t="shared" si="1"/>
        <v>-1.4292526405747824E-2</v>
      </c>
      <c r="I9" s="185">
        <f t="shared" si="2"/>
        <v>-4.3231767224724202E-3</v>
      </c>
      <c r="J9" s="186">
        <v>2009568</v>
      </c>
      <c r="K9" s="187">
        <f t="shared" si="3"/>
        <v>2600000</v>
      </c>
      <c r="L9" s="188">
        <v>2600000</v>
      </c>
      <c r="M9" s="337">
        <v>0.24502094232240079</v>
      </c>
      <c r="N9" s="189">
        <v>492387</v>
      </c>
      <c r="O9" s="325">
        <v>-0.12547479133564593</v>
      </c>
      <c r="P9" s="189">
        <v>-252149</v>
      </c>
      <c r="Q9" s="330">
        <v>-0.11118226492989811</v>
      </c>
      <c r="R9" s="299">
        <f t="shared" si="4"/>
        <v>28721.803704145859</v>
      </c>
      <c r="S9" s="189">
        <f t="shared" si="5"/>
        <v>-289073.88881773507</v>
      </c>
      <c r="T9" s="325">
        <v>-2.0322785953391948E-2</v>
      </c>
      <c r="U9" s="189">
        <v>-40839</v>
      </c>
      <c r="V9" s="330">
        <v>-1.5999609230919528E-2</v>
      </c>
      <c r="W9" s="233">
        <f t="shared" si="6"/>
        <v>-32152.302722960492</v>
      </c>
      <c r="X9" s="299">
        <f t="shared" si="7"/>
        <v>8686.6972770395078</v>
      </c>
      <c r="Y9" s="325">
        <v>-4.5820816126060987E-3</v>
      </c>
      <c r="Z9" s="189">
        <v>-9207</v>
      </c>
      <c r="AA9" s="330">
        <v>-2.9996142309176035E-3</v>
      </c>
      <c r="AB9" s="190" t="s">
        <v>165</v>
      </c>
    </row>
    <row r="10" spans="1:28" s="179" customFormat="1" ht="12" customHeight="1">
      <c r="A10" s="168"/>
      <c r="B10" s="168"/>
      <c r="C10" s="180" t="s">
        <v>81</v>
      </c>
      <c r="D10" s="181" t="s">
        <v>82</v>
      </c>
      <c r="E10" s="182"/>
      <c r="F10" s="183"/>
      <c r="G10" s="184">
        <f t="shared" si="0"/>
        <v>15839.955099999905</v>
      </c>
      <c r="H10" s="184">
        <f t="shared" si="1"/>
        <v>1.2111559490597959E-2</v>
      </c>
      <c r="I10" s="185">
        <f t="shared" si="2"/>
        <v>-5.5310433879824372E-3</v>
      </c>
      <c r="J10" s="186">
        <v>1390444</v>
      </c>
      <c r="K10" s="187">
        <f t="shared" si="3"/>
        <v>1374604.0449000001</v>
      </c>
      <c r="L10" s="188">
        <v>1374604.0449000001</v>
      </c>
      <c r="M10" s="337">
        <v>0.25566887675366773</v>
      </c>
      <c r="N10" s="189">
        <v>355494</v>
      </c>
      <c r="O10" s="325">
        <v>-0.11784733354765352</v>
      </c>
      <c r="P10" s="189">
        <v>-163859</v>
      </c>
      <c r="Q10" s="330">
        <v>-0.12995889303825148</v>
      </c>
      <c r="R10" s="299">
        <f t="shared" si="4"/>
        <v>-16840.445224344992</v>
      </c>
      <c r="S10" s="189">
        <f t="shared" si="5"/>
        <v>-178642.02004110694</v>
      </c>
      <c r="T10" s="325">
        <v>-2.1530548177810957E-2</v>
      </c>
      <c r="U10" s="189">
        <v>-29936</v>
      </c>
      <c r="V10" s="330">
        <v>-1.599950478982852E-2</v>
      </c>
      <c r="W10" s="233">
        <f t="shared" si="6"/>
        <v>-22246.415437988326</v>
      </c>
      <c r="X10" s="299">
        <f t="shared" si="7"/>
        <v>7689.5845620116743</v>
      </c>
      <c r="Y10" s="325">
        <v>-3.9627658235540757E-3</v>
      </c>
      <c r="Z10" s="189">
        <v>-5509</v>
      </c>
      <c r="AA10" s="330">
        <v>-2.9994070044315458E-3</v>
      </c>
      <c r="AB10" s="190" t="s">
        <v>166</v>
      </c>
    </row>
    <row r="11" spans="1:28" s="179" customFormat="1" ht="12" customHeight="1">
      <c r="A11" s="168"/>
      <c r="B11" s="168"/>
      <c r="C11" s="180" t="s">
        <v>83</v>
      </c>
      <c r="D11" s="181" t="s">
        <v>84</v>
      </c>
      <c r="E11" s="182"/>
      <c r="F11" s="183"/>
      <c r="G11" s="184">
        <f t="shared" si="0"/>
        <v>-203727</v>
      </c>
      <c r="H11" s="184">
        <f t="shared" si="1"/>
        <v>-2.0293014660057701E-2</v>
      </c>
      <c r="I11" s="185">
        <f t="shared" si="2"/>
        <v>-2.797666488145896E-4</v>
      </c>
      <c r="J11" s="186">
        <v>896273</v>
      </c>
      <c r="K11" s="187">
        <f t="shared" si="3"/>
        <v>1100000</v>
      </c>
      <c r="L11" s="188">
        <v>1100000</v>
      </c>
      <c r="M11" s="337">
        <v>0.2335853401645929</v>
      </c>
      <c r="N11" s="189">
        <v>209357</v>
      </c>
      <c r="O11" s="325">
        <v>-0.1230106485531178</v>
      </c>
      <c r="P11" s="189">
        <v>-110250</v>
      </c>
      <c r="Q11" s="330">
        <v>-0.1027176338930601</v>
      </c>
      <c r="R11" s="299">
        <f t="shared" si="4"/>
        <v>18188.081128413891</v>
      </c>
      <c r="S11" s="189">
        <f t="shared" si="5"/>
        <v>-112989.39728236612</v>
      </c>
      <c r="T11" s="325">
        <v>-1.5278843922380705E-2</v>
      </c>
      <c r="U11" s="189">
        <v>-13693</v>
      </c>
      <c r="V11" s="330">
        <v>-1.4999077273566115E-2</v>
      </c>
      <c r="W11" s="233">
        <f t="shared" si="6"/>
        <v>-13443.267985210923</v>
      </c>
      <c r="X11" s="299">
        <f t="shared" si="7"/>
        <v>249.73201478907686</v>
      </c>
      <c r="Y11" s="325">
        <v>-6.0930164057339739E-3</v>
      </c>
      <c r="Z11" s="189">
        <v>-5460</v>
      </c>
      <c r="AA11" s="330">
        <v>-2.9990881826471067E-3</v>
      </c>
      <c r="AB11" s="190" t="s">
        <v>164</v>
      </c>
    </row>
    <row r="12" spans="1:28" s="179" customFormat="1" ht="12" customHeight="1">
      <c r="A12" s="168"/>
      <c r="B12" s="168"/>
      <c r="C12" s="180" t="s">
        <v>65</v>
      </c>
      <c r="D12" s="181" t="s">
        <v>66</v>
      </c>
      <c r="E12" s="182"/>
      <c r="F12" s="183"/>
      <c r="G12" s="184">
        <f t="shared" si="0"/>
        <v>75803</v>
      </c>
      <c r="H12" s="184">
        <f t="shared" si="1"/>
        <v>1.2216835419735408E-2</v>
      </c>
      <c r="I12" s="185">
        <f t="shared" si="2"/>
        <v>2.5458268405112346E-3</v>
      </c>
      <c r="J12" s="186">
        <v>3080803</v>
      </c>
      <c r="K12" s="187">
        <f t="shared" si="3"/>
        <v>3005000</v>
      </c>
      <c r="L12" s="188">
        <v>3005000</v>
      </c>
      <c r="M12" s="337">
        <v>0.22531568078701586</v>
      </c>
      <c r="N12" s="189">
        <v>694154</v>
      </c>
      <c r="O12" s="325">
        <v>-8.6253514506936829E-2</v>
      </c>
      <c r="P12" s="189">
        <v>-265729</v>
      </c>
      <c r="Q12" s="330">
        <v>-9.8470349926672238E-2</v>
      </c>
      <c r="R12" s="299">
        <f t="shared" si="4"/>
        <v>-37637.663211627107</v>
      </c>
      <c r="S12" s="189">
        <f t="shared" si="5"/>
        <v>-295903.40152965009</v>
      </c>
      <c r="T12" s="325">
        <v>-1.1453835721997064E-2</v>
      </c>
      <c r="U12" s="189">
        <v>-35286</v>
      </c>
      <c r="V12" s="330">
        <v>-1.3999662562508298E-2</v>
      </c>
      <c r="W12" s="233">
        <f t="shared" si="6"/>
        <v>-43130.202421563255</v>
      </c>
      <c r="X12" s="299">
        <f t="shared" si="7"/>
        <v>-7844.2024215632555</v>
      </c>
      <c r="Y12" s="325">
        <v>-1.6463245609422482E-3</v>
      </c>
      <c r="Z12" s="189">
        <v>-5071</v>
      </c>
      <c r="AA12" s="330">
        <v>-2.9996662230728044E-3</v>
      </c>
      <c r="AB12" s="190" t="s">
        <v>167</v>
      </c>
    </row>
    <row r="13" spans="1:28" s="179" customFormat="1" ht="12" customHeight="1">
      <c r="A13" s="168"/>
      <c r="B13" s="168"/>
      <c r="C13" s="180" t="s">
        <v>85</v>
      </c>
      <c r="D13" s="181" t="s">
        <v>86</v>
      </c>
      <c r="E13" s="182"/>
      <c r="F13" s="183"/>
      <c r="G13" s="184">
        <f t="shared" si="0"/>
        <v>-161336</v>
      </c>
      <c r="H13" s="184">
        <f t="shared" si="1"/>
        <v>-5.5314728307894606E-3</v>
      </c>
      <c r="I13" s="185">
        <f t="shared" si="2"/>
        <v>-1.5470697678956497E-3</v>
      </c>
      <c r="J13" s="186">
        <v>2138664</v>
      </c>
      <c r="K13" s="187">
        <f t="shared" si="3"/>
        <v>2300000</v>
      </c>
      <c r="L13" s="188">
        <v>2300000</v>
      </c>
      <c r="M13" s="337">
        <v>0.2131780462840569</v>
      </c>
      <c r="N13" s="189">
        <v>455917</v>
      </c>
      <c r="O13" s="325">
        <v>-9.9563605860296833E-2</v>
      </c>
      <c r="P13" s="189">
        <v>-212932</v>
      </c>
      <c r="Q13" s="330">
        <v>-9.4032133029507373E-2</v>
      </c>
      <c r="R13" s="299">
        <f t="shared" si="4"/>
        <v>11829.961810187524</v>
      </c>
      <c r="S13" s="189">
        <f t="shared" si="5"/>
        <v>-216273.90596786694</v>
      </c>
      <c r="T13" s="325">
        <v>-1.5546628898522114E-2</v>
      </c>
      <c r="U13" s="189">
        <v>-33248</v>
      </c>
      <c r="V13" s="330">
        <v>-1.3999559130626464E-2</v>
      </c>
      <c r="W13" s="233">
        <f t="shared" si="6"/>
        <v>-29940.353128542116</v>
      </c>
      <c r="X13" s="299">
        <f t="shared" si="7"/>
        <v>3307.6468714578841</v>
      </c>
      <c r="Y13" s="325">
        <v>-5.4244170306401709E-3</v>
      </c>
      <c r="Z13" s="189">
        <v>-11600</v>
      </c>
      <c r="AA13" s="330">
        <v>-2.9995639132330814E-3</v>
      </c>
      <c r="AB13" s="190" t="s">
        <v>164</v>
      </c>
    </row>
    <row r="14" spans="1:28" s="179" customFormat="1" ht="12" customHeight="1">
      <c r="A14" s="168"/>
      <c r="B14" s="168"/>
      <c r="C14" s="180" t="s">
        <v>63</v>
      </c>
      <c r="D14" s="181" t="s">
        <v>64</v>
      </c>
      <c r="E14" s="182"/>
      <c r="F14" s="183"/>
      <c r="G14" s="184">
        <f t="shared" si="0"/>
        <v>41743</v>
      </c>
      <c r="H14" s="184">
        <f t="shared" si="1"/>
        <v>6.6639119877249103E-3</v>
      </c>
      <c r="I14" s="185">
        <f t="shared" si="2"/>
        <v>1.5326383848586131E-5</v>
      </c>
      <c r="J14" s="186">
        <v>3041743</v>
      </c>
      <c r="K14" s="187">
        <f t="shared" si="3"/>
        <v>3000000</v>
      </c>
      <c r="L14" s="188">
        <v>3000000</v>
      </c>
      <c r="M14" s="337">
        <v>0.21383536144748636</v>
      </c>
      <c r="N14" s="189">
        <v>650433</v>
      </c>
      <c r="O14" s="325">
        <v>-9.0863722169730377E-2</v>
      </c>
      <c r="P14" s="189">
        <v>-276383</v>
      </c>
      <c r="Q14" s="330">
        <v>-9.7527634157455287E-2</v>
      </c>
      <c r="R14" s="299">
        <f t="shared" si="4"/>
        <v>-20269.907641278289</v>
      </c>
      <c r="S14" s="189">
        <f t="shared" si="5"/>
        <v>-292582.90247236588</v>
      </c>
      <c r="T14" s="325">
        <v>-1.2984335949597303E-2</v>
      </c>
      <c r="U14" s="189">
        <v>-39494</v>
      </c>
      <c r="V14" s="330">
        <v>-1.2999662333445889E-2</v>
      </c>
      <c r="W14" s="233">
        <f t="shared" si="6"/>
        <v>-39541.631905122696</v>
      </c>
      <c r="X14" s="299">
        <f t="shared" si="7"/>
        <v>-47.63190512269648</v>
      </c>
      <c r="Y14" s="325">
        <v>-1.4777716190262028E-3</v>
      </c>
      <c r="Z14" s="189">
        <v>-4494</v>
      </c>
      <c r="AA14" s="330">
        <v>-2.9996656667781109E-3</v>
      </c>
      <c r="AB14" s="190" t="s">
        <v>164</v>
      </c>
    </row>
    <row r="15" spans="1:28" s="179" customFormat="1" ht="12" customHeight="1">
      <c r="A15" s="168"/>
      <c r="B15" s="168"/>
      <c r="C15" s="180" t="s">
        <v>67</v>
      </c>
      <c r="D15" s="181" t="s">
        <v>68</v>
      </c>
      <c r="E15" s="182"/>
      <c r="F15" s="183"/>
      <c r="G15" s="184">
        <f t="shared" si="0"/>
        <v>-51163</v>
      </c>
      <c r="H15" s="184">
        <f t="shared" si="1"/>
        <v>-4.9274953309628403E-2</v>
      </c>
      <c r="I15" s="185">
        <f t="shared" si="2"/>
        <v>-2.9163416040542296E-2</v>
      </c>
      <c r="J15" s="186">
        <v>2042644</v>
      </c>
      <c r="K15" s="187">
        <f t="shared" si="3"/>
        <v>2093807</v>
      </c>
      <c r="L15" s="188">
        <v>2093807</v>
      </c>
      <c r="M15" s="337">
        <v>0.23741397787082716</v>
      </c>
      <c r="N15" s="189">
        <v>484953</v>
      </c>
      <c r="O15" s="325">
        <v>-0.14042395073441616</v>
      </c>
      <c r="P15" s="189">
        <v>-286835</v>
      </c>
      <c r="Q15" s="330">
        <v>-9.1148997424787756E-2</v>
      </c>
      <c r="R15" s="299">
        <f t="shared" si="4"/>
        <v>100651.18772819257</v>
      </c>
      <c r="S15" s="189">
        <f t="shared" si="5"/>
        <v>-190848.40885100258</v>
      </c>
      <c r="T15" s="325">
        <v>-4.4162881129986981E-2</v>
      </c>
      <c r="U15" s="189">
        <v>-90208</v>
      </c>
      <c r="V15" s="330">
        <v>-1.4999465089444686E-2</v>
      </c>
      <c r="W15" s="233">
        <f t="shared" si="6"/>
        <v>-30638.567368163651</v>
      </c>
      <c r="X15" s="299">
        <f t="shared" si="7"/>
        <v>59569.432631836346</v>
      </c>
      <c r="Y15" s="325">
        <v>-5.7430495686226126E-3</v>
      </c>
      <c r="Z15" s="189">
        <v>-11730</v>
      </c>
      <c r="AA15" s="330">
        <v>-2.9993198994368157E-3</v>
      </c>
      <c r="AB15" s="190" t="s">
        <v>164</v>
      </c>
    </row>
    <row r="16" spans="1:28" s="179" customFormat="1" ht="12" customHeight="1">
      <c r="A16" s="168"/>
      <c r="B16" s="168"/>
      <c r="C16" s="180" t="s">
        <v>87</v>
      </c>
      <c r="D16" s="181" t="s">
        <v>88</v>
      </c>
      <c r="E16" s="182"/>
      <c r="F16" s="183"/>
      <c r="G16" s="184">
        <f t="shared" si="0"/>
        <v>193098</v>
      </c>
      <c r="H16" s="184">
        <f t="shared" si="1"/>
        <v>-4.497280625790305E-2</v>
      </c>
      <c r="I16" s="185">
        <f t="shared" si="2"/>
        <v>-1.8529076324612384E-2</v>
      </c>
      <c r="J16" s="186">
        <v>1334995</v>
      </c>
      <c r="K16" s="187">
        <f t="shared" si="3"/>
        <v>1141897</v>
      </c>
      <c r="L16" s="188">
        <v>1141897</v>
      </c>
      <c r="M16" s="337">
        <v>0.21864892276669409</v>
      </c>
      <c r="N16" s="189">
        <v>291896</v>
      </c>
      <c r="O16" s="325">
        <v>-0.15529358184381353</v>
      </c>
      <c r="P16" s="189">
        <v>-207315</v>
      </c>
      <c r="Q16" s="330">
        <v>-0.11032077558591048</v>
      </c>
      <c r="R16" s="299">
        <f t="shared" si="4"/>
        <v>60038.471490269294</v>
      </c>
      <c r="S16" s="189">
        <f t="shared" si="5"/>
        <v>-125974.96267922442</v>
      </c>
      <c r="T16" s="325">
        <v>-2.8528218104351032E-2</v>
      </c>
      <c r="U16" s="189">
        <v>-38084</v>
      </c>
      <c r="V16" s="330">
        <v>-9.9991417797386465E-3</v>
      </c>
      <c r="W16" s="233">
        <f t="shared" si="6"/>
        <v>-13348.804280242195</v>
      </c>
      <c r="X16" s="299">
        <f t="shared" si="7"/>
        <v>24735.195719757805</v>
      </c>
      <c r="Y16" s="325">
        <v>-1.0003790279207248E-2</v>
      </c>
      <c r="Z16" s="189">
        <v>-13354</v>
      </c>
      <c r="AA16" s="330">
        <v>-2.9993922399373673E-3</v>
      </c>
      <c r="AB16" s="190" t="s">
        <v>164</v>
      </c>
    </row>
    <row r="17" spans="1:28" s="179" customFormat="1" ht="12" customHeight="1">
      <c r="A17" s="168"/>
      <c r="B17" s="168"/>
      <c r="C17" s="180" t="s">
        <v>89</v>
      </c>
      <c r="D17" s="181" t="s">
        <v>90</v>
      </c>
      <c r="E17" s="182"/>
      <c r="F17" s="183"/>
      <c r="G17" s="184">
        <f t="shared" si="0"/>
        <v>-136901</v>
      </c>
      <c r="H17" s="184">
        <f t="shared" si="1"/>
        <v>-2.927401528544149E-3</v>
      </c>
      <c r="I17" s="185">
        <f t="shared" si="2"/>
        <v>3.902551040169018E-3</v>
      </c>
      <c r="J17" s="186">
        <v>1743099</v>
      </c>
      <c r="K17" s="187">
        <f t="shared" si="3"/>
        <v>1880000</v>
      </c>
      <c r="L17" s="188">
        <v>1880000</v>
      </c>
      <c r="M17" s="337">
        <v>0.23539468234144034</v>
      </c>
      <c r="N17" s="189">
        <v>410317</v>
      </c>
      <c r="O17" s="325">
        <v>-9.630554334868148E-2</v>
      </c>
      <c r="P17" s="189">
        <v>-167869</v>
      </c>
      <c r="Q17" s="330">
        <v>-9.3378141820137331E-2</v>
      </c>
      <c r="R17" s="299">
        <f t="shared" si="4"/>
        <v>5102.7506770037871</v>
      </c>
      <c r="S17" s="189">
        <f t="shared" si="5"/>
        <v>-175550.90662185819</v>
      </c>
      <c r="T17" s="325">
        <v>-1.1096909066501138E-2</v>
      </c>
      <c r="U17" s="189">
        <v>-19342</v>
      </c>
      <c r="V17" s="330">
        <v>-1.4999460106670156E-2</v>
      </c>
      <c r="W17" s="233">
        <f t="shared" si="6"/>
        <v>-26145.543912476642</v>
      </c>
      <c r="X17" s="299">
        <f t="shared" si="7"/>
        <v>-6803.5439124766417</v>
      </c>
      <c r="Y17" s="325">
        <v>-3.6790817269023316E-3</v>
      </c>
      <c r="Z17" s="189">
        <v>-6412</v>
      </c>
      <c r="AA17" s="330">
        <v>-2.9994664896454844E-3</v>
      </c>
      <c r="AB17" s="190" t="s">
        <v>168</v>
      </c>
    </row>
    <row r="18" spans="1:28" s="179" customFormat="1" ht="12" customHeight="1">
      <c r="A18" s="168"/>
      <c r="B18" s="168"/>
      <c r="C18" s="180" t="s">
        <v>91</v>
      </c>
      <c r="D18" s="181" t="s">
        <v>92</v>
      </c>
      <c r="E18" s="182"/>
      <c r="F18" s="183"/>
      <c r="G18" s="184">
        <f t="shared" si="0"/>
        <v>-96640</v>
      </c>
      <c r="H18" s="184">
        <f t="shared" si="1"/>
        <v>-4.5238675787180743E-3</v>
      </c>
      <c r="I18" s="185">
        <f t="shared" si="2"/>
        <v>-5.6927012580089854E-3</v>
      </c>
      <c r="J18" s="186">
        <v>1313360</v>
      </c>
      <c r="K18" s="187">
        <f t="shared" si="3"/>
        <v>1410000</v>
      </c>
      <c r="L18" s="188">
        <v>1410000</v>
      </c>
      <c r="M18" s="337">
        <v>0.23453221853278503</v>
      </c>
      <c r="N18" s="189">
        <v>308026</v>
      </c>
      <c r="O18" s="325">
        <v>-0.10979861561081167</v>
      </c>
      <c r="P18" s="189">
        <v>-144204</v>
      </c>
      <c r="Q18" s="330">
        <v>-0.10527474803209359</v>
      </c>
      <c r="R18" s="299">
        <f t="shared" si="4"/>
        <v>5941.4667231851781</v>
      </c>
      <c r="S18" s="189">
        <f t="shared" si="5"/>
        <v>-148437.39472525197</v>
      </c>
      <c r="T18" s="325">
        <v>-2.0691981400363494E-2</v>
      </c>
      <c r="U18" s="189">
        <v>-27175</v>
      </c>
      <c r="V18" s="330">
        <v>-1.4999280142354509E-2</v>
      </c>
      <c r="W18" s="233">
        <f t="shared" si="6"/>
        <v>-19699.454567762717</v>
      </c>
      <c r="X18" s="299">
        <f t="shared" si="7"/>
        <v>7475.5454322372825</v>
      </c>
      <c r="Y18" s="325">
        <v>-3.2930828509189032E-3</v>
      </c>
      <c r="Z18" s="189">
        <v>-4324</v>
      </c>
      <c r="AA18" s="330">
        <v>-2.9992886529867711E-3</v>
      </c>
      <c r="AB18" s="190" t="s">
        <v>164</v>
      </c>
    </row>
    <row r="19" spans="1:28" s="179" customFormat="1" ht="12" customHeight="1">
      <c r="A19" s="168"/>
      <c r="B19" s="168"/>
      <c r="C19" s="180" t="s">
        <v>93</v>
      </c>
      <c r="D19" s="181" t="s">
        <v>94</v>
      </c>
      <c r="E19" s="182"/>
      <c r="F19" s="183"/>
      <c r="G19" s="184">
        <f t="shared" si="0"/>
        <v>-12026</v>
      </c>
      <c r="H19" s="184">
        <f t="shared" si="1"/>
        <v>-3.4682722678664318E-3</v>
      </c>
      <c r="I19" s="185">
        <f t="shared" si="2"/>
        <v>-6.0408398310078035E-3</v>
      </c>
      <c r="J19" s="186">
        <v>1287974</v>
      </c>
      <c r="K19" s="187">
        <f t="shared" si="3"/>
        <v>1300000</v>
      </c>
      <c r="L19" s="188">
        <v>1300000</v>
      </c>
      <c r="M19" s="337">
        <v>0.20166727097540088</v>
      </c>
      <c r="N19" s="189">
        <v>259743</v>
      </c>
      <c r="O19" s="325">
        <v>-0.10947434457088774</v>
      </c>
      <c r="P19" s="189">
        <v>-140999</v>
      </c>
      <c r="Q19" s="330">
        <v>-0.10600607230302131</v>
      </c>
      <c r="R19" s="299">
        <f t="shared" si="4"/>
        <v>4467.0445059329795</v>
      </c>
      <c r="S19" s="189">
        <f t="shared" si="5"/>
        <v>-137807.89399392769</v>
      </c>
      <c r="T19" s="325">
        <v>-2.2040058293147449E-2</v>
      </c>
      <c r="U19" s="189">
        <v>-28386</v>
      </c>
      <c r="V19" s="330">
        <v>-1.5999218462139645E-2</v>
      </c>
      <c r="W19" s="233">
        <f t="shared" si="6"/>
        <v>-20606.577399555848</v>
      </c>
      <c r="X19" s="299">
        <f t="shared" si="7"/>
        <v>7779.4226004441516</v>
      </c>
      <c r="Y19" s="325">
        <v>-6.1686075717425756E-3</v>
      </c>
      <c r="Z19" s="189">
        <v>-7944</v>
      </c>
      <c r="AA19" s="330">
        <v>-2.9992284621319521E-3</v>
      </c>
      <c r="AB19" s="190" t="s">
        <v>164</v>
      </c>
    </row>
    <row r="20" spans="1:28" s="179" customFormat="1" ht="12" customHeight="1">
      <c r="A20" s="168"/>
      <c r="B20" s="168"/>
      <c r="C20" s="180" t="s">
        <v>95</v>
      </c>
      <c r="D20" s="181" t="s">
        <v>96</v>
      </c>
      <c r="E20" s="182"/>
      <c r="F20" s="183"/>
      <c r="G20" s="184">
        <f t="shared" si="0"/>
        <v>-361070</v>
      </c>
      <c r="H20" s="184">
        <f t="shared" si="1"/>
        <v>-8.3353810521937799E-3</v>
      </c>
      <c r="I20" s="185">
        <f t="shared" si="2"/>
        <v>-3.5976750683475757E-3</v>
      </c>
      <c r="J20" s="186">
        <v>2238930</v>
      </c>
      <c r="K20" s="187">
        <f t="shared" si="3"/>
        <v>2600000</v>
      </c>
      <c r="L20" s="188">
        <v>2600000</v>
      </c>
      <c r="M20" s="337">
        <v>0.23063437920541474</v>
      </c>
      <c r="N20" s="189">
        <v>516375</v>
      </c>
      <c r="O20" s="325">
        <v>-0.11097225503801147</v>
      </c>
      <c r="P20" s="189">
        <v>-248458</v>
      </c>
      <c r="Q20" s="330">
        <v>-0.10263687398581769</v>
      </c>
      <c r="R20" s="299">
        <f t="shared" si="4"/>
        <v>18662.334699188214</v>
      </c>
      <c r="S20" s="189">
        <f t="shared" si="5"/>
        <v>-266855.87236312602</v>
      </c>
      <c r="T20" s="325">
        <v>-1.8597284683882338E-2</v>
      </c>
      <c r="U20" s="189">
        <v>-41637</v>
      </c>
      <c r="V20" s="330">
        <v>-1.4999609615534763E-2</v>
      </c>
      <c r="W20" s="233">
        <f t="shared" si="6"/>
        <v>-33583.075956509245</v>
      </c>
      <c r="X20" s="299">
        <f t="shared" si="7"/>
        <v>8053.9240434907551</v>
      </c>
      <c r="Y20" s="325">
        <v>-4.2538195717684657E-3</v>
      </c>
      <c r="Z20" s="189">
        <v>-9523</v>
      </c>
      <c r="AA20" s="330">
        <v>-2.9996142309176035E-3</v>
      </c>
      <c r="AB20" s="190" t="s">
        <v>169</v>
      </c>
    </row>
    <row r="21" spans="1:28" s="179" customFormat="1" ht="12" customHeight="1">
      <c r="C21" s="180" t="s">
        <v>137</v>
      </c>
      <c r="D21" s="181" t="s">
        <v>138</v>
      </c>
      <c r="E21" s="182"/>
      <c r="F21" s="183"/>
      <c r="G21" s="184">
        <f>IFERROR(IF(J21=0,"",J21-L21),0)</f>
        <v>-371866</v>
      </c>
      <c r="H21" s="184">
        <f t="shared" si="1"/>
        <v>-3.2888503695890747E-2</v>
      </c>
      <c r="I21" s="185">
        <f t="shared" si="2"/>
        <v>-2.7014575559318275E-3</v>
      </c>
      <c r="J21" s="186">
        <v>2953807</v>
      </c>
      <c r="K21" s="187">
        <f t="shared" si="3"/>
        <v>3325673</v>
      </c>
      <c r="L21" s="188">
        <v>3325673</v>
      </c>
      <c r="M21" s="337">
        <v>0.13982096319121837</v>
      </c>
      <c r="N21" s="189">
        <v>413005</v>
      </c>
      <c r="O21" s="325">
        <v>-0.12398207600634571</v>
      </c>
      <c r="P21" s="189">
        <v>-366218</v>
      </c>
      <c r="Q21" s="330">
        <v>-9.1093572310454965E-2</v>
      </c>
      <c r="R21" s="299">
        <f t="shared" si="4"/>
        <v>97146.292436447984</v>
      </c>
      <c r="S21" s="189">
        <f t="shared" si="5"/>
        <v>-302947.4339064277</v>
      </c>
      <c r="T21" s="325">
        <v>-1.4728793969543023E-2</v>
      </c>
      <c r="U21" s="189">
        <v>-43505</v>
      </c>
      <c r="V21" s="330">
        <v>-1.2027336413611195E-2</v>
      </c>
      <c r="W21" s="233">
        <f t="shared" si="6"/>
        <v>-35526.430489879647</v>
      </c>
      <c r="X21" s="299">
        <f t="shared" si="7"/>
        <v>7978.5695101203528</v>
      </c>
      <c r="Y21" s="325">
        <v>-3.0073065055728101E-3</v>
      </c>
      <c r="Z21" s="189">
        <v>-8882</v>
      </c>
      <c r="AA21" s="330">
        <v>-2.9996984069996036E-3</v>
      </c>
      <c r="AB21" s="190" t="s">
        <v>164</v>
      </c>
    </row>
    <row r="22" spans="1:28" s="179" customFormat="1" ht="12" customHeight="1">
      <c r="C22" s="180" t="s">
        <v>170</v>
      </c>
      <c r="D22" s="181" t="s">
        <v>171</v>
      </c>
      <c r="E22" s="182"/>
      <c r="F22" s="183"/>
      <c r="G22" s="184" t="str">
        <f t="shared" ref="G22:G29" si="8">IFERROR(IF(J22=0,"",J22-L22),0)</f>
        <v/>
      </c>
      <c r="H22" s="184" t="str">
        <f t="shared" si="1"/>
        <v/>
      </c>
      <c r="I22" s="185" t="str">
        <f t="shared" si="2"/>
        <v/>
      </c>
      <c r="J22" s="186"/>
      <c r="K22" s="187">
        <f t="shared" si="3"/>
        <v>0</v>
      </c>
      <c r="L22" s="188">
        <v>1715000</v>
      </c>
      <c r="M22" s="337"/>
      <c r="N22" s="189"/>
      <c r="O22" s="325"/>
      <c r="P22" s="189"/>
      <c r="Q22" s="330">
        <v>-9.3685076568468473E-2</v>
      </c>
      <c r="R22" s="299">
        <f t="shared" si="4"/>
        <v>0</v>
      </c>
      <c r="S22" s="189">
        <f t="shared" si="5"/>
        <v>0</v>
      </c>
      <c r="T22" s="325"/>
      <c r="U22" s="189"/>
      <c r="V22" s="330">
        <v>-1.5302112127048321E-2</v>
      </c>
      <c r="W22" s="233" t="str">
        <f t="shared" si="6"/>
        <v/>
      </c>
      <c r="X22" s="299" t="str">
        <f t="shared" si="7"/>
        <v/>
      </c>
      <c r="Y22" s="325"/>
      <c r="Z22" s="189"/>
      <c r="AA22" s="330">
        <v>-2.9994151606908682E-3</v>
      </c>
      <c r="AB22" s="190"/>
    </row>
    <row r="23" spans="1:28" s="179" customFormat="1" ht="12" customHeight="1">
      <c r="C23" s="180" t="s">
        <v>172</v>
      </c>
      <c r="D23" s="181" t="s">
        <v>173</v>
      </c>
      <c r="E23" s="182"/>
      <c r="F23" s="183"/>
      <c r="G23" s="184" t="str">
        <f t="shared" si="8"/>
        <v/>
      </c>
      <c r="H23" s="184" t="str">
        <f t="shared" si="1"/>
        <v/>
      </c>
      <c r="I23" s="185" t="str">
        <f t="shared" si="2"/>
        <v/>
      </c>
      <c r="J23" s="186"/>
      <c r="K23" s="187">
        <f t="shared" si="3"/>
        <v>0</v>
      </c>
      <c r="L23" s="188">
        <v>1791412</v>
      </c>
      <c r="M23" s="337"/>
      <c r="N23" s="189"/>
      <c r="O23" s="325"/>
      <c r="P23" s="189"/>
      <c r="Q23" s="330">
        <v>-0.10605817865561989</v>
      </c>
      <c r="R23" s="299">
        <f t="shared" si="4"/>
        <v>0</v>
      </c>
      <c r="S23" s="189">
        <f t="shared" si="5"/>
        <v>0</v>
      </c>
      <c r="T23" s="325"/>
      <c r="U23" s="189"/>
      <c r="V23" s="330">
        <v>-1.4895783384401029E-2</v>
      </c>
      <c r="W23" s="233" t="str">
        <f t="shared" si="6"/>
        <v/>
      </c>
      <c r="X23" s="299" t="str">
        <f t="shared" si="7"/>
        <v/>
      </c>
      <c r="Y23" s="325"/>
      <c r="Z23" s="189"/>
      <c r="AA23" s="330">
        <v>-2.9994401067760476E-3</v>
      </c>
      <c r="AB23" s="190"/>
    </row>
    <row r="24" spans="1:28" s="179" customFormat="1" ht="12" customHeight="1">
      <c r="C24" s="180" t="s">
        <v>174</v>
      </c>
      <c r="D24" s="181" t="s">
        <v>175</v>
      </c>
      <c r="E24" s="182"/>
      <c r="F24" s="183"/>
      <c r="G24" s="184" t="str">
        <f t="shared" si="8"/>
        <v/>
      </c>
      <c r="H24" s="184" t="str">
        <f t="shared" si="1"/>
        <v/>
      </c>
      <c r="I24" s="185" t="str">
        <f t="shared" si="2"/>
        <v/>
      </c>
      <c r="J24" s="186"/>
      <c r="K24" s="187">
        <f t="shared" si="3"/>
        <v>0</v>
      </c>
      <c r="L24" s="188">
        <v>1010000</v>
      </c>
      <c r="M24" s="337"/>
      <c r="N24" s="189"/>
      <c r="O24" s="325"/>
      <c r="P24" s="189"/>
      <c r="Q24" s="330">
        <v>-0.10430583732095315</v>
      </c>
      <c r="R24" s="299">
        <f t="shared" si="4"/>
        <v>0</v>
      </c>
      <c r="S24" s="189">
        <f t="shared" si="5"/>
        <v>0</v>
      </c>
      <c r="T24" s="325"/>
      <c r="U24" s="189"/>
      <c r="V24" s="330">
        <v>-1.515401073860323E-2</v>
      </c>
      <c r="W24" s="233" t="str">
        <f t="shared" si="6"/>
        <v/>
      </c>
      <c r="X24" s="299" t="str">
        <f t="shared" si="7"/>
        <v/>
      </c>
      <c r="Y24" s="325"/>
      <c r="Z24" s="189"/>
      <c r="AA24" s="330">
        <v>-2.9990069316763054E-3</v>
      </c>
      <c r="AB24" s="190"/>
    </row>
    <row r="25" spans="1:28" s="179" customFormat="1" ht="12" customHeight="1">
      <c r="C25" s="180" t="s">
        <v>176</v>
      </c>
      <c r="D25" s="181" t="s">
        <v>177</v>
      </c>
      <c r="E25" s="182"/>
      <c r="F25" s="183"/>
      <c r="G25" s="184" t="str">
        <f t="shared" si="8"/>
        <v/>
      </c>
      <c r="H25" s="184" t="str">
        <f t="shared" si="1"/>
        <v/>
      </c>
      <c r="I25" s="185" t="str">
        <f t="shared" si="2"/>
        <v/>
      </c>
      <c r="J25" s="186"/>
      <c r="K25" s="187">
        <f t="shared" si="3"/>
        <v>0</v>
      </c>
      <c r="L25" s="188">
        <v>1600000</v>
      </c>
      <c r="M25" s="337"/>
      <c r="N25" s="189"/>
      <c r="O25" s="325"/>
      <c r="P25" s="189"/>
      <c r="Q25" s="330">
        <v>-0.10112118679925824</v>
      </c>
      <c r="R25" s="299">
        <f t="shared" si="4"/>
        <v>0</v>
      </c>
      <c r="S25" s="189">
        <f t="shared" si="5"/>
        <v>0</v>
      </c>
      <c r="T25" s="325"/>
      <c r="U25" s="189"/>
      <c r="V25" s="330">
        <v>-1.5277850076343703E-2</v>
      </c>
      <c r="W25" s="233" t="str">
        <f t="shared" si="6"/>
        <v/>
      </c>
      <c r="X25" s="299" t="str">
        <f t="shared" si="7"/>
        <v/>
      </c>
      <c r="Y25" s="325"/>
      <c r="Z25" s="189"/>
      <c r="AA25" s="330">
        <v>-2.9993731253917968E-3</v>
      </c>
      <c r="AB25" s="190"/>
    </row>
    <row r="26" spans="1:28" s="179" customFormat="1" ht="12" customHeight="1">
      <c r="C26" s="180" t="s">
        <v>178</v>
      </c>
      <c r="D26" s="181" t="s">
        <v>179</v>
      </c>
      <c r="E26" s="182"/>
      <c r="F26" s="183"/>
      <c r="G26" s="184" t="str">
        <f t="shared" si="8"/>
        <v/>
      </c>
      <c r="H26" s="184" t="str">
        <f t="shared" si="1"/>
        <v/>
      </c>
      <c r="I26" s="185" t="str">
        <f t="shared" si="2"/>
        <v/>
      </c>
      <c r="J26" s="186"/>
      <c r="K26" s="187">
        <f t="shared" si="3"/>
        <v>0</v>
      </c>
      <c r="L26" s="188">
        <v>1950000</v>
      </c>
      <c r="M26" s="337"/>
      <c r="N26" s="189"/>
      <c r="O26" s="325"/>
      <c r="P26" s="189"/>
      <c r="Q26" s="330">
        <v>-9.6085591750978583E-2</v>
      </c>
      <c r="R26" s="299">
        <f t="shared" si="4"/>
        <v>0</v>
      </c>
      <c r="S26" s="189">
        <f t="shared" si="5"/>
        <v>0</v>
      </c>
      <c r="T26" s="325"/>
      <c r="U26" s="189"/>
      <c r="V26" s="330">
        <v>-1.521127835319059E-2</v>
      </c>
      <c r="W26" s="233" t="str">
        <f t="shared" si="6"/>
        <v/>
      </c>
      <c r="X26" s="299" t="str">
        <f t="shared" si="7"/>
        <v/>
      </c>
      <c r="Y26" s="325"/>
      <c r="Z26" s="189"/>
      <c r="AA26" s="330">
        <v>-2.9994856412894149E-3</v>
      </c>
      <c r="AB26" s="190"/>
    </row>
    <row r="27" spans="1:28" s="179" customFormat="1" ht="12" customHeight="1">
      <c r="C27" s="180" t="s">
        <v>180</v>
      </c>
      <c r="D27" s="181" t="s">
        <v>181</v>
      </c>
      <c r="E27" s="182"/>
      <c r="F27" s="183"/>
      <c r="G27" s="184" t="str">
        <f t="shared" si="8"/>
        <v/>
      </c>
      <c r="H27" s="184" t="str">
        <f t="shared" si="1"/>
        <v/>
      </c>
      <c r="I27" s="185" t="str">
        <f t="shared" si="2"/>
        <v/>
      </c>
      <c r="J27" s="186"/>
      <c r="K27" s="187">
        <f t="shared" si="3"/>
        <v>0</v>
      </c>
      <c r="L27" s="188">
        <v>1150000</v>
      </c>
      <c r="M27" s="337"/>
      <c r="N27" s="189"/>
      <c r="O27" s="325"/>
      <c r="P27" s="189"/>
      <c r="Q27" s="330">
        <v>-0.12197554610822077</v>
      </c>
      <c r="R27" s="299">
        <f t="shared" si="4"/>
        <v>0</v>
      </c>
      <c r="S27" s="189">
        <f t="shared" si="5"/>
        <v>0</v>
      </c>
      <c r="T27" s="325"/>
      <c r="U27" s="189"/>
      <c r="V27" s="330">
        <v>-1.5233992926962673E-2</v>
      </c>
      <c r="W27" s="233" t="str">
        <f t="shared" si="6"/>
        <v/>
      </c>
      <c r="X27" s="299" t="str">
        <f t="shared" si="7"/>
        <v/>
      </c>
      <c r="Y27" s="325"/>
      <c r="Z27" s="189"/>
      <c r="AA27" s="330">
        <v>-2.9991278268453681E-3</v>
      </c>
      <c r="AB27" s="190"/>
    </row>
    <row r="28" spans="1:28" s="179" customFormat="1" ht="12" customHeight="1">
      <c r="C28" s="180" t="s">
        <v>182</v>
      </c>
      <c r="D28" s="181" t="s">
        <v>183</v>
      </c>
      <c r="E28" s="182"/>
      <c r="F28" s="183"/>
      <c r="G28" s="184" t="str">
        <f t="shared" si="8"/>
        <v/>
      </c>
      <c r="H28" s="184" t="str">
        <f t="shared" si="1"/>
        <v/>
      </c>
      <c r="I28" s="185" t="str">
        <f t="shared" si="2"/>
        <v/>
      </c>
      <c r="J28" s="186"/>
      <c r="K28" s="187">
        <f t="shared" si="3"/>
        <v>0</v>
      </c>
      <c r="L28" s="188">
        <v>700000</v>
      </c>
      <c r="M28" s="337"/>
      <c r="N28" s="189"/>
      <c r="O28" s="325"/>
      <c r="P28" s="189"/>
      <c r="Q28" s="330">
        <v>-0.13262695339006658</v>
      </c>
      <c r="R28" s="299">
        <f t="shared" si="4"/>
        <v>0</v>
      </c>
      <c r="S28" s="189">
        <f t="shared" si="5"/>
        <v>0</v>
      </c>
      <c r="T28" s="325"/>
      <c r="U28" s="189"/>
      <c r="V28" s="330">
        <v>-2.140826884533022E-2</v>
      </c>
      <c r="W28" s="233" t="str">
        <f t="shared" si="6"/>
        <v/>
      </c>
      <c r="X28" s="299" t="str">
        <f t="shared" si="7"/>
        <v/>
      </c>
      <c r="Y28" s="325"/>
      <c r="Z28" s="189"/>
      <c r="AA28" s="330">
        <v>-2.9985671449040789E-3</v>
      </c>
      <c r="AB28" s="190"/>
    </row>
    <row r="29" spans="1:28" s="179" customFormat="1" ht="12" customHeight="1">
      <c r="C29" s="180" t="s">
        <v>184</v>
      </c>
      <c r="D29" s="181" t="s">
        <v>185</v>
      </c>
      <c r="E29" s="182"/>
      <c r="F29" s="183"/>
      <c r="G29" s="184" t="str">
        <f t="shared" si="8"/>
        <v/>
      </c>
      <c r="H29" s="184" t="str">
        <f t="shared" si="1"/>
        <v/>
      </c>
      <c r="I29" s="185" t="str">
        <f t="shared" si="2"/>
        <v/>
      </c>
      <c r="J29" s="186"/>
      <c r="K29" s="187">
        <f t="shared" si="3"/>
        <v>0</v>
      </c>
      <c r="L29" s="188">
        <v>1075000</v>
      </c>
      <c r="M29" s="337"/>
      <c r="N29" s="189"/>
      <c r="O29" s="325"/>
      <c r="P29" s="189"/>
      <c r="Q29" s="330">
        <v>-0.11101478045136702</v>
      </c>
      <c r="R29" s="299">
        <f t="shared" si="4"/>
        <v>0</v>
      </c>
      <c r="S29" s="189">
        <f t="shared" si="5"/>
        <v>0</v>
      </c>
      <c r="T29" s="325"/>
      <c r="U29" s="189"/>
      <c r="V29" s="330">
        <v>-1.6454622088723638E-2</v>
      </c>
      <c r="W29" s="233" t="str">
        <f t="shared" si="6"/>
        <v/>
      </c>
      <c r="X29" s="299" t="str">
        <f t="shared" si="7"/>
        <v/>
      </c>
      <c r="Y29" s="325"/>
      <c r="Z29" s="189"/>
      <c r="AA29" s="330">
        <v>-2.999066977612114E-3</v>
      </c>
      <c r="AB29" s="190"/>
    </row>
    <row r="30" spans="1:28" s="179" customFormat="1" ht="12" customHeight="1">
      <c r="C30" s="180" t="s">
        <v>186</v>
      </c>
      <c r="D30" s="181" t="s">
        <v>187</v>
      </c>
      <c r="E30" s="182"/>
      <c r="F30" s="183"/>
      <c r="G30" s="184" t="str">
        <f t="shared" ref="G30:G70" si="9">IFERROR(IF(J30=0,"",J30-L30),0)</f>
        <v/>
      </c>
      <c r="H30" s="184" t="str">
        <f t="shared" ref="H30:H70" si="10">IFERROR(IF(O30=0,"",O30-Q30),0)</f>
        <v/>
      </c>
      <c r="I30" s="185" t="str">
        <f t="shared" ref="I30:I70" si="11">IFERROR(IF(J30=0,"",T30-V30),"")</f>
        <v/>
      </c>
      <c r="J30" s="186"/>
      <c r="K30" s="187">
        <f t="shared" si="3"/>
        <v>0</v>
      </c>
      <c r="L30" s="188">
        <v>1735324</v>
      </c>
      <c r="M30" s="337"/>
      <c r="N30" s="189"/>
      <c r="O30" s="325"/>
      <c r="P30" s="189"/>
      <c r="Q30" s="330">
        <v>-0.10072522438159999</v>
      </c>
      <c r="R30" s="299">
        <f t="shared" ref="R30:R70" si="12">(Q30*J30)-(O30*J30)</f>
        <v>0</v>
      </c>
      <c r="S30" s="189">
        <f t="shared" ref="S30:S70" si="13">IFERROR(Q30*K30,"")</f>
        <v>0</v>
      </c>
      <c r="T30" s="325"/>
      <c r="U30" s="189"/>
      <c r="V30" s="330">
        <v>-1.5140916888767234E-2</v>
      </c>
      <c r="W30" s="233" t="str">
        <f t="shared" si="6"/>
        <v/>
      </c>
      <c r="X30" s="299" t="str">
        <f t="shared" si="7"/>
        <v/>
      </c>
      <c r="Y30" s="325"/>
      <c r="Z30" s="189"/>
      <c r="AA30" s="330">
        <v>-2.9994220102862574E-3</v>
      </c>
      <c r="AB30" s="190"/>
    </row>
    <row r="31" spans="1:28" s="179" customFormat="1" ht="12" customHeight="1">
      <c r="C31" s="180" t="s">
        <v>188</v>
      </c>
      <c r="D31" s="181" t="s">
        <v>189</v>
      </c>
      <c r="E31" s="182"/>
      <c r="F31" s="183"/>
      <c r="G31" s="184" t="str">
        <f t="shared" si="9"/>
        <v/>
      </c>
      <c r="H31" s="184" t="str">
        <f t="shared" si="10"/>
        <v/>
      </c>
      <c r="I31" s="185" t="str">
        <f t="shared" si="11"/>
        <v/>
      </c>
      <c r="J31" s="186"/>
      <c r="K31" s="187">
        <f t="shared" si="3"/>
        <v>0</v>
      </c>
      <c r="L31" s="188">
        <v>1270000</v>
      </c>
      <c r="M31" s="337"/>
      <c r="N31" s="189"/>
      <c r="O31" s="325"/>
      <c r="P31" s="189"/>
      <c r="Q31" s="330">
        <v>7.8740095480239774E-7</v>
      </c>
      <c r="R31" s="299">
        <f t="shared" si="12"/>
        <v>0</v>
      </c>
      <c r="S31" s="189">
        <f t="shared" si="13"/>
        <v>0</v>
      </c>
      <c r="T31" s="325"/>
      <c r="U31" s="189"/>
      <c r="V31" s="330"/>
      <c r="W31" s="233" t="str">
        <f t="shared" si="6"/>
        <v/>
      </c>
      <c r="X31" s="299" t="str">
        <f t="shared" si="7"/>
        <v/>
      </c>
      <c r="Y31" s="325"/>
      <c r="Z31" s="189"/>
      <c r="AA31" s="330">
        <v>-2.9992102368423331E-3</v>
      </c>
      <c r="AB31" s="190"/>
    </row>
    <row r="32" spans="1:28" s="179" customFormat="1" ht="12" customHeight="1">
      <c r="C32" s="180" t="s">
        <v>190</v>
      </c>
      <c r="D32" s="181" t="s">
        <v>191</v>
      </c>
      <c r="E32" s="182"/>
      <c r="F32" s="183"/>
      <c r="G32" s="184" t="str">
        <f t="shared" si="9"/>
        <v/>
      </c>
      <c r="H32" s="184" t="str">
        <f t="shared" si="10"/>
        <v/>
      </c>
      <c r="I32" s="185" t="str">
        <f t="shared" si="11"/>
        <v/>
      </c>
      <c r="J32" s="186"/>
      <c r="K32" s="187">
        <f t="shared" si="3"/>
        <v>0</v>
      </c>
      <c r="L32" s="188">
        <v>730000</v>
      </c>
      <c r="M32" s="337"/>
      <c r="N32" s="189"/>
      <c r="O32" s="325"/>
      <c r="P32" s="189"/>
      <c r="Q32" s="330">
        <v>-0.11677107291633847</v>
      </c>
      <c r="R32" s="299">
        <f t="shared" si="12"/>
        <v>0</v>
      </c>
      <c r="S32" s="189">
        <f t="shared" si="13"/>
        <v>0</v>
      </c>
      <c r="T32" s="325"/>
      <c r="U32" s="189"/>
      <c r="V32" s="330">
        <v>-3.7544625692293575E-2</v>
      </c>
      <c r="W32" s="233" t="str">
        <f t="shared" si="6"/>
        <v/>
      </c>
      <c r="X32" s="299" t="str">
        <f t="shared" si="7"/>
        <v/>
      </c>
      <c r="Y32" s="325"/>
      <c r="Z32" s="189"/>
      <c r="AA32" s="330">
        <v>-2.9986260292794121E-3</v>
      </c>
      <c r="AB32" s="190"/>
    </row>
    <row r="33" spans="3:28" s="179" customFormat="1" ht="12" customHeight="1">
      <c r="C33" s="180" t="s">
        <v>192</v>
      </c>
      <c r="D33" s="181" t="s">
        <v>193</v>
      </c>
      <c r="E33" s="182"/>
      <c r="F33" s="183"/>
      <c r="G33" s="184" t="str">
        <f t="shared" si="9"/>
        <v/>
      </c>
      <c r="H33" s="184" t="str">
        <f t="shared" si="10"/>
        <v/>
      </c>
      <c r="I33" s="185" t="str">
        <f t="shared" si="11"/>
        <v/>
      </c>
      <c r="J33" s="186"/>
      <c r="K33" s="187">
        <f t="shared" si="3"/>
        <v>0</v>
      </c>
      <c r="L33" s="188">
        <v>530000</v>
      </c>
      <c r="M33" s="337"/>
      <c r="N33" s="189"/>
      <c r="O33" s="325"/>
      <c r="P33" s="189"/>
      <c r="Q33" s="330">
        <v>-0.14950915186952476</v>
      </c>
      <c r="R33" s="299">
        <f t="shared" si="12"/>
        <v>0</v>
      </c>
      <c r="S33" s="189">
        <f t="shared" si="13"/>
        <v>0</v>
      </c>
      <c r="T33" s="325"/>
      <c r="U33" s="189"/>
      <c r="V33" s="330">
        <v>-4.9346250667451574E-2</v>
      </c>
      <c r="W33" s="233" t="str">
        <f t="shared" si="6"/>
        <v/>
      </c>
      <c r="X33" s="299" t="str">
        <f t="shared" si="7"/>
        <v/>
      </c>
      <c r="Y33" s="325"/>
      <c r="Z33" s="189"/>
      <c r="AA33" s="330">
        <v>-2.9981075507404704E-3</v>
      </c>
      <c r="AB33" s="190"/>
    </row>
    <row r="34" spans="3:28" s="179" customFormat="1" ht="12" customHeight="1">
      <c r="C34" s="180" t="s">
        <v>194</v>
      </c>
      <c r="D34" s="181" t="s">
        <v>195</v>
      </c>
      <c r="E34" s="182"/>
      <c r="F34" s="183"/>
      <c r="G34" s="184" t="str">
        <f t="shared" si="9"/>
        <v/>
      </c>
      <c r="H34" s="184" t="str">
        <f t="shared" si="10"/>
        <v/>
      </c>
      <c r="I34" s="185" t="str">
        <f t="shared" si="11"/>
        <v/>
      </c>
      <c r="J34" s="186"/>
      <c r="K34" s="187">
        <f t="shared" si="3"/>
        <v>0</v>
      </c>
      <c r="L34" s="188">
        <v>510000</v>
      </c>
      <c r="M34" s="337"/>
      <c r="N34" s="189"/>
      <c r="O34" s="325"/>
      <c r="P34" s="189"/>
      <c r="Q34" s="330">
        <v>-0.15690361391448251</v>
      </c>
      <c r="R34" s="299">
        <f t="shared" si="12"/>
        <v>0</v>
      </c>
      <c r="S34" s="189">
        <f t="shared" si="13"/>
        <v>0</v>
      </c>
      <c r="T34" s="325"/>
      <c r="U34" s="189"/>
      <c r="V34" s="330">
        <v>-4.9883175915341346E-2</v>
      </c>
      <c r="W34" s="233" t="str">
        <f t="shared" si="6"/>
        <v/>
      </c>
      <c r="X34" s="299" t="str">
        <f t="shared" si="7"/>
        <v/>
      </c>
      <c r="Y34" s="325"/>
      <c r="Z34" s="189"/>
      <c r="AA34" s="330">
        <v>-2.9980333371895347E-3</v>
      </c>
      <c r="AB34" s="190"/>
    </row>
    <row r="35" spans="3:28" s="179" customFormat="1" ht="12" customHeight="1">
      <c r="C35" s="180" t="s">
        <v>196</v>
      </c>
      <c r="D35" s="181" t="s">
        <v>197</v>
      </c>
      <c r="E35" s="182"/>
      <c r="F35" s="183"/>
      <c r="G35" s="184" t="str">
        <f t="shared" si="9"/>
        <v/>
      </c>
      <c r="H35" s="184" t="str">
        <f t="shared" si="10"/>
        <v/>
      </c>
      <c r="I35" s="185" t="str">
        <f t="shared" si="11"/>
        <v/>
      </c>
      <c r="J35" s="186"/>
      <c r="K35" s="187">
        <f t="shared" si="3"/>
        <v>0</v>
      </c>
      <c r="L35" s="188">
        <v>620000</v>
      </c>
      <c r="M35" s="337"/>
      <c r="N35" s="189"/>
      <c r="O35" s="325"/>
      <c r="P35" s="189"/>
      <c r="Q35" s="330">
        <v>-0.12208851276046329</v>
      </c>
      <c r="R35" s="299">
        <f t="shared" si="12"/>
        <v>0</v>
      </c>
      <c r="S35" s="189">
        <f t="shared" si="13"/>
        <v>0</v>
      </c>
      <c r="T35" s="325"/>
      <c r="U35" s="189"/>
      <c r="V35" s="330">
        <v>-4.1141000417741262E-2</v>
      </c>
      <c r="W35" s="233" t="str">
        <f t="shared" si="6"/>
        <v/>
      </c>
      <c r="X35" s="299" t="str">
        <f t="shared" si="7"/>
        <v/>
      </c>
      <c r="Y35" s="325"/>
      <c r="Z35" s="189"/>
      <c r="AA35" s="330">
        <v>-2.9983822606737733E-3</v>
      </c>
      <c r="AB35" s="190"/>
    </row>
    <row r="36" spans="3:28" s="179" customFormat="1" ht="12" customHeight="1">
      <c r="C36" s="180" t="s">
        <v>198</v>
      </c>
      <c r="D36" s="181" t="s">
        <v>199</v>
      </c>
      <c r="E36" s="182"/>
      <c r="F36" s="183"/>
      <c r="G36" s="184" t="str">
        <f t="shared" si="9"/>
        <v/>
      </c>
      <c r="H36" s="184" t="str">
        <f t="shared" si="10"/>
        <v/>
      </c>
      <c r="I36" s="185" t="str">
        <f t="shared" si="11"/>
        <v/>
      </c>
      <c r="J36" s="186"/>
      <c r="K36" s="187">
        <f t="shared" si="3"/>
        <v>0</v>
      </c>
      <c r="L36" s="188">
        <v>630000</v>
      </c>
      <c r="M36" s="337"/>
      <c r="N36" s="189"/>
      <c r="O36" s="325"/>
      <c r="P36" s="189"/>
      <c r="Q36" s="330">
        <v>-0.1409807286020181</v>
      </c>
      <c r="R36" s="299">
        <f t="shared" si="12"/>
        <v>0</v>
      </c>
      <c r="S36" s="189">
        <f t="shared" si="13"/>
        <v>0</v>
      </c>
      <c r="T36" s="325"/>
      <c r="U36" s="189"/>
      <c r="V36" s="330">
        <v>-3.6707093322074093E-2</v>
      </c>
      <c r="W36" s="233" t="str">
        <f t="shared" si="6"/>
        <v/>
      </c>
      <c r="X36" s="299" t="str">
        <f t="shared" si="7"/>
        <v/>
      </c>
      <c r="Y36" s="325"/>
      <c r="Z36" s="189"/>
      <c r="AA36" s="330">
        <v>-2.9984079390350175E-3</v>
      </c>
      <c r="AB36" s="190"/>
    </row>
    <row r="37" spans="3:28" s="179" customFormat="1" ht="12" customHeight="1">
      <c r="C37" s="180" t="s">
        <v>200</v>
      </c>
      <c r="D37" s="181" t="s">
        <v>201</v>
      </c>
      <c r="E37" s="182"/>
      <c r="F37" s="183"/>
      <c r="G37" s="184" t="str">
        <f t="shared" si="9"/>
        <v/>
      </c>
      <c r="H37" s="184" t="str">
        <f t="shared" si="10"/>
        <v/>
      </c>
      <c r="I37" s="185" t="str">
        <f t="shared" si="11"/>
        <v/>
      </c>
      <c r="J37" s="186"/>
      <c r="K37" s="187">
        <f t="shared" si="3"/>
        <v>0</v>
      </c>
      <c r="L37" s="188">
        <v>1250000</v>
      </c>
      <c r="M37" s="337"/>
      <c r="N37" s="189"/>
      <c r="O37" s="325"/>
      <c r="P37" s="189"/>
      <c r="Q37" s="330">
        <v>-0.10230871815302547</v>
      </c>
      <c r="R37" s="299">
        <f t="shared" si="12"/>
        <v>0</v>
      </c>
      <c r="S37" s="189">
        <f t="shared" si="13"/>
        <v>0</v>
      </c>
      <c r="T37" s="325"/>
      <c r="U37" s="189"/>
      <c r="V37" s="330">
        <v>-1.5221793982564813E-2</v>
      </c>
      <c r="W37" s="233" t="str">
        <f t="shared" si="6"/>
        <v/>
      </c>
      <c r="X37" s="299" t="str">
        <f t="shared" si="7"/>
        <v/>
      </c>
      <c r="Y37" s="325"/>
      <c r="Z37" s="189"/>
      <c r="AA37" s="330">
        <v>-2.9991976006419193E-3</v>
      </c>
      <c r="AB37" s="190"/>
    </row>
    <row r="38" spans="3:28" s="179" customFormat="1" ht="12" customHeight="1">
      <c r="C38" s="180" t="s">
        <v>202</v>
      </c>
      <c r="D38" s="181" t="s">
        <v>203</v>
      </c>
      <c r="E38" s="182"/>
      <c r="F38" s="183"/>
      <c r="G38" s="184" t="str">
        <f t="shared" si="9"/>
        <v/>
      </c>
      <c r="H38" s="184" t="str">
        <f t="shared" si="10"/>
        <v/>
      </c>
      <c r="I38" s="185" t="str">
        <f t="shared" si="11"/>
        <v/>
      </c>
      <c r="J38" s="186"/>
      <c r="K38" s="187">
        <f t="shared" si="3"/>
        <v>0</v>
      </c>
      <c r="L38" s="188">
        <v>785000</v>
      </c>
      <c r="M38" s="337"/>
      <c r="N38" s="189"/>
      <c r="O38" s="325"/>
      <c r="P38" s="189"/>
      <c r="Q38" s="330">
        <v>-0.12982403844071536</v>
      </c>
      <c r="R38" s="299">
        <f t="shared" si="12"/>
        <v>0</v>
      </c>
      <c r="S38" s="189">
        <f t="shared" si="13"/>
        <v>0</v>
      </c>
      <c r="T38" s="325"/>
      <c r="U38" s="189"/>
      <c r="V38" s="330">
        <v>-3.1845819304688786E-2</v>
      </c>
      <c r="W38" s="233" t="str">
        <f t="shared" si="6"/>
        <v/>
      </c>
      <c r="X38" s="299" t="str">
        <f t="shared" si="7"/>
        <v/>
      </c>
      <c r="Y38" s="325"/>
      <c r="Z38" s="189"/>
      <c r="AA38" s="330">
        <v>-2.9987222946212806E-3</v>
      </c>
      <c r="AB38" s="190"/>
    </row>
    <row r="39" spans="3:28" s="179" customFormat="1" ht="12" customHeight="1">
      <c r="C39" s="180" t="s">
        <v>204</v>
      </c>
      <c r="D39" s="181" t="s">
        <v>205</v>
      </c>
      <c r="E39" s="182"/>
      <c r="F39" s="183"/>
      <c r="G39" s="184" t="str">
        <f t="shared" si="9"/>
        <v/>
      </c>
      <c r="H39" s="184" t="str">
        <f t="shared" si="10"/>
        <v/>
      </c>
      <c r="I39" s="185" t="str">
        <f t="shared" si="11"/>
        <v/>
      </c>
      <c r="J39" s="186"/>
      <c r="K39" s="187">
        <f t="shared" si="3"/>
        <v>0</v>
      </c>
      <c r="L39" s="188">
        <v>1000000</v>
      </c>
      <c r="M39" s="337"/>
      <c r="N39" s="189"/>
      <c r="O39" s="325"/>
      <c r="P39" s="189"/>
      <c r="Q39" s="330">
        <v>-0.10705489294510706</v>
      </c>
      <c r="R39" s="299">
        <f t="shared" si="12"/>
        <v>0</v>
      </c>
      <c r="S39" s="189">
        <f t="shared" si="13"/>
        <v>0</v>
      </c>
      <c r="T39" s="325"/>
      <c r="U39" s="189"/>
      <c r="V39" s="330">
        <v>-1.51993166006834E-2</v>
      </c>
      <c r="W39" s="233" t="str">
        <f t="shared" si="6"/>
        <v/>
      </c>
      <c r="X39" s="299" t="str">
        <f t="shared" si="7"/>
        <v/>
      </c>
      <c r="Y39" s="325"/>
      <c r="Z39" s="189"/>
      <c r="AA39" s="330">
        <v>-2.9989970010029991E-3</v>
      </c>
      <c r="AB39" s="190"/>
    </row>
    <row r="40" spans="3:28" s="179" customFormat="1" ht="12" customHeight="1">
      <c r="C40" s="180" t="s">
        <v>206</v>
      </c>
      <c r="D40" s="181" t="s">
        <v>207</v>
      </c>
      <c r="E40" s="182"/>
      <c r="F40" s="183"/>
      <c r="G40" s="184" t="str">
        <f t="shared" si="9"/>
        <v/>
      </c>
      <c r="H40" s="184" t="str">
        <f t="shared" si="10"/>
        <v/>
      </c>
      <c r="I40" s="185" t="str">
        <f t="shared" si="11"/>
        <v/>
      </c>
      <c r="J40" s="186"/>
      <c r="K40" s="187">
        <f t="shared" si="3"/>
        <v>0</v>
      </c>
      <c r="L40" s="188">
        <v>1190000</v>
      </c>
      <c r="M40" s="337"/>
      <c r="N40" s="189"/>
      <c r="O40" s="325"/>
      <c r="P40" s="189"/>
      <c r="Q40" s="330">
        <v>-0.10005537810472429</v>
      </c>
      <c r="R40" s="299">
        <f t="shared" si="12"/>
        <v>0</v>
      </c>
      <c r="S40" s="189">
        <f t="shared" si="13"/>
        <v>0</v>
      </c>
      <c r="T40" s="325"/>
      <c r="U40" s="189"/>
      <c r="V40" s="330">
        <v>-1.5177171111620914E-2</v>
      </c>
      <c r="W40" s="233" t="str">
        <f t="shared" si="6"/>
        <v/>
      </c>
      <c r="X40" s="299" t="str">
        <f t="shared" si="7"/>
        <v/>
      </c>
      <c r="Y40" s="325"/>
      <c r="Z40" s="189"/>
      <c r="AA40" s="330">
        <v>-2.9991571435654257E-3</v>
      </c>
      <c r="AB40" s="190"/>
    </row>
    <row r="41" spans="3:28" s="179" customFormat="1" ht="12" customHeight="1">
      <c r="C41" s="180" t="s">
        <v>208</v>
      </c>
      <c r="D41" s="181" t="s">
        <v>209</v>
      </c>
      <c r="E41" s="182"/>
      <c r="F41" s="183"/>
      <c r="G41" s="184" t="str">
        <f t="shared" si="9"/>
        <v/>
      </c>
      <c r="H41" s="184" t="str">
        <f t="shared" si="10"/>
        <v/>
      </c>
      <c r="I41" s="185" t="str">
        <f t="shared" si="11"/>
        <v/>
      </c>
      <c r="J41" s="186"/>
      <c r="K41" s="187">
        <f t="shared" si="3"/>
        <v>0</v>
      </c>
      <c r="L41" s="188">
        <v>950000</v>
      </c>
      <c r="M41" s="337"/>
      <c r="N41" s="189"/>
      <c r="O41" s="325"/>
      <c r="P41" s="189"/>
      <c r="Q41" s="330">
        <v>-0.11012935775857079</v>
      </c>
      <c r="R41" s="299">
        <f t="shared" si="12"/>
        <v>0</v>
      </c>
      <c r="S41" s="189">
        <f t="shared" si="13"/>
        <v>0</v>
      </c>
      <c r="T41" s="325"/>
      <c r="U41" s="189"/>
      <c r="V41" s="330">
        <v>-1.5129139758800253E-2</v>
      </c>
      <c r="W41" s="233" t="str">
        <f t="shared" si="6"/>
        <v/>
      </c>
      <c r="X41" s="299" t="str">
        <f t="shared" si="7"/>
        <v/>
      </c>
      <c r="Y41" s="325"/>
      <c r="Z41" s="189"/>
      <c r="AA41" s="330">
        <v>-2.9989442116376721E-3</v>
      </c>
      <c r="AB41" s="190"/>
    </row>
    <row r="42" spans="3:28" s="179" customFormat="1" ht="12" customHeight="1">
      <c r="C42" s="180" t="s">
        <v>210</v>
      </c>
      <c r="D42" s="181" t="s">
        <v>211</v>
      </c>
      <c r="E42" s="182"/>
      <c r="F42" s="183"/>
      <c r="G42" s="184" t="str">
        <f t="shared" si="9"/>
        <v/>
      </c>
      <c r="H42" s="184" t="str">
        <f t="shared" si="10"/>
        <v/>
      </c>
      <c r="I42" s="185" t="str">
        <f t="shared" si="11"/>
        <v/>
      </c>
      <c r="J42" s="186"/>
      <c r="K42" s="187">
        <f t="shared" si="3"/>
        <v>0</v>
      </c>
      <c r="L42" s="188">
        <v>1050000</v>
      </c>
      <c r="M42" s="337"/>
      <c r="N42" s="189"/>
      <c r="O42" s="325"/>
      <c r="P42" s="189"/>
      <c r="Q42" s="330">
        <v>-0.11233132158921753</v>
      </c>
      <c r="R42" s="299">
        <f t="shared" si="12"/>
        <v>0</v>
      </c>
      <c r="S42" s="189">
        <f t="shared" si="13"/>
        <v>0</v>
      </c>
      <c r="T42" s="325"/>
      <c r="U42" s="189"/>
      <c r="V42" s="330">
        <v>-1.5259734038348535E-2</v>
      </c>
      <c r="W42" s="233" t="str">
        <f t="shared" si="6"/>
        <v/>
      </c>
      <c r="X42" s="299" t="str">
        <f t="shared" si="7"/>
        <v/>
      </c>
      <c r="Y42" s="325"/>
      <c r="Z42" s="189"/>
      <c r="AA42" s="330">
        <v>-2.9990447628145114E-3</v>
      </c>
      <c r="AB42" s="190"/>
    </row>
    <row r="43" spans="3:28" s="179" customFormat="1" ht="12" customHeight="1">
      <c r="C43" s="180" t="s">
        <v>212</v>
      </c>
      <c r="D43" s="181" t="s">
        <v>213</v>
      </c>
      <c r="E43" s="182"/>
      <c r="F43" s="183"/>
      <c r="G43" s="184" t="str">
        <f t="shared" si="9"/>
        <v/>
      </c>
      <c r="H43" s="184" t="str">
        <f t="shared" si="10"/>
        <v/>
      </c>
      <c r="I43" s="185" t="str">
        <f t="shared" si="11"/>
        <v/>
      </c>
      <c r="J43" s="186"/>
      <c r="K43" s="187">
        <f t="shared" si="3"/>
        <v>0</v>
      </c>
      <c r="L43" s="188">
        <v>1450000</v>
      </c>
      <c r="M43" s="337"/>
      <c r="N43" s="189"/>
      <c r="O43" s="325"/>
      <c r="P43" s="189"/>
      <c r="Q43" s="330">
        <v>-0.10105372341122523</v>
      </c>
      <c r="R43" s="299">
        <f t="shared" si="12"/>
        <v>0</v>
      </c>
      <c r="S43" s="189">
        <f t="shared" si="13"/>
        <v>0</v>
      </c>
      <c r="T43" s="325"/>
      <c r="U43" s="189"/>
      <c r="V43" s="330"/>
      <c r="W43" s="233" t="str">
        <f t="shared" si="6"/>
        <v/>
      </c>
      <c r="X43" s="299" t="str">
        <f t="shared" si="7"/>
        <v/>
      </c>
      <c r="Y43" s="325"/>
      <c r="Z43" s="189"/>
      <c r="AA43" s="330">
        <v>-2.9993082763391196E-3</v>
      </c>
      <c r="AB43" s="190"/>
    </row>
    <row r="44" spans="3:28" s="179" customFormat="1" ht="12" customHeight="1">
      <c r="C44" s="180" t="s">
        <v>214</v>
      </c>
      <c r="D44" s="181" t="s">
        <v>215</v>
      </c>
      <c r="E44" s="182"/>
      <c r="F44" s="183"/>
      <c r="G44" s="184" t="str">
        <f t="shared" si="9"/>
        <v/>
      </c>
      <c r="H44" s="184" t="str">
        <f t="shared" si="10"/>
        <v/>
      </c>
      <c r="I44" s="185" t="str">
        <f t="shared" si="11"/>
        <v/>
      </c>
      <c r="J44" s="186"/>
      <c r="K44" s="187">
        <f t="shared" si="3"/>
        <v>0</v>
      </c>
      <c r="L44" s="188">
        <v>1030000</v>
      </c>
      <c r="M44" s="337"/>
      <c r="N44" s="189"/>
      <c r="O44" s="325"/>
      <c r="P44" s="189"/>
      <c r="Q44" s="330">
        <v>-0.10872513716006101</v>
      </c>
      <c r="R44" s="299">
        <f t="shared" si="12"/>
        <v>0</v>
      </c>
      <c r="S44" s="189">
        <f t="shared" si="13"/>
        <v>0</v>
      </c>
      <c r="T44" s="325"/>
      <c r="U44" s="189"/>
      <c r="V44" s="330">
        <v>-1.5163278967690322E-2</v>
      </c>
      <c r="W44" s="233" t="str">
        <f t="shared" si="6"/>
        <v/>
      </c>
      <c r="X44" s="299" t="str">
        <f t="shared" si="7"/>
        <v/>
      </c>
      <c r="Y44" s="325"/>
      <c r="Z44" s="189"/>
      <c r="AA44" s="330">
        <v>-2.999026214537656E-3</v>
      </c>
      <c r="AB44" s="190"/>
    </row>
    <row r="45" spans="3:28" s="179" customFormat="1" ht="12" customHeight="1">
      <c r="C45" s="180" t="s">
        <v>216</v>
      </c>
      <c r="D45" s="181" t="s">
        <v>217</v>
      </c>
      <c r="E45" s="182"/>
      <c r="F45" s="183"/>
      <c r="G45" s="184" t="str">
        <f t="shared" si="9"/>
        <v/>
      </c>
      <c r="H45" s="184" t="str">
        <f t="shared" si="10"/>
        <v/>
      </c>
      <c r="I45" s="185" t="str">
        <f t="shared" si="11"/>
        <v/>
      </c>
      <c r="J45" s="186"/>
      <c r="K45" s="187">
        <f t="shared" si="3"/>
        <v>0</v>
      </c>
      <c r="L45" s="188">
        <v>810000</v>
      </c>
      <c r="M45" s="337"/>
      <c r="N45" s="189"/>
      <c r="O45" s="325"/>
      <c r="P45" s="189"/>
      <c r="Q45" s="330">
        <v>-0.1307405793326181</v>
      </c>
      <c r="R45" s="299">
        <f t="shared" si="12"/>
        <v>0</v>
      </c>
      <c r="S45" s="189">
        <f t="shared" si="13"/>
        <v>0</v>
      </c>
      <c r="T45" s="325"/>
      <c r="U45" s="189"/>
      <c r="V45" s="330">
        <v>-1.5074937314892203E-2</v>
      </c>
      <c r="W45" s="233" t="str">
        <f t="shared" si="6"/>
        <v/>
      </c>
      <c r="X45" s="299" t="str">
        <f t="shared" si="7"/>
        <v/>
      </c>
      <c r="Y45" s="325"/>
      <c r="Z45" s="189"/>
      <c r="AA45" s="330">
        <v>-2.9987617299237902E-3</v>
      </c>
      <c r="AB45" s="190"/>
    </row>
    <row r="46" spans="3:28" s="179" customFormat="1" ht="12" customHeight="1">
      <c r="C46" s="180" t="s">
        <v>218</v>
      </c>
      <c r="D46" s="181" t="s">
        <v>219</v>
      </c>
      <c r="E46" s="182"/>
      <c r="F46" s="183"/>
      <c r="G46" s="184" t="str">
        <f t="shared" si="9"/>
        <v/>
      </c>
      <c r="H46" s="184" t="str">
        <f t="shared" si="10"/>
        <v/>
      </c>
      <c r="I46" s="185" t="str">
        <f t="shared" si="11"/>
        <v/>
      </c>
      <c r="J46" s="186"/>
      <c r="K46" s="187">
        <f t="shared" si="3"/>
        <v>0</v>
      </c>
      <c r="L46" s="188">
        <v>780000</v>
      </c>
      <c r="M46" s="337"/>
      <c r="N46" s="189"/>
      <c r="O46" s="325"/>
      <c r="P46" s="189"/>
      <c r="Q46" s="330">
        <v>-0.12598958206463837</v>
      </c>
      <c r="R46" s="299">
        <f t="shared" si="12"/>
        <v>0</v>
      </c>
      <c r="S46" s="189">
        <f t="shared" si="13"/>
        <v>0</v>
      </c>
      <c r="T46" s="325"/>
      <c r="U46" s="189"/>
      <c r="V46" s="330">
        <v>-1.512969214142033E-2</v>
      </c>
      <c r="W46" s="233" t="str">
        <f t="shared" si="6"/>
        <v/>
      </c>
      <c r="X46" s="299" t="str">
        <f t="shared" si="7"/>
        <v/>
      </c>
      <c r="Y46" s="325"/>
      <c r="Z46" s="189"/>
      <c r="AA46" s="330">
        <v>-2.9987141042126871E-3</v>
      </c>
      <c r="AB46" s="190"/>
    </row>
    <row r="47" spans="3:28" s="179" customFormat="1" ht="12" customHeight="1">
      <c r="C47" s="180" t="s">
        <v>220</v>
      </c>
      <c r="D47" s="181" t="s">
        <v>221</v>
      </c>
      <c r="E47" s="182"/>
      <c r="F47" s="183"/>
      <c r="G47" s="184" t="str">
        <f t="shared" si="9"/>
        <v/>
      </c>
      <c r="H47" s="184" t="str">
        <f t="shared" si="10"/>
        <v/>
      </c>
      <c r="I47" s="185" t="str">
        <f t="shared" si="11"/>
        <v/>
      </c>
      <c r="J47" s="186"/>
      <c r="K47" s="187">
        <f t="shared" si="3"/>
        <v>0</v>
      </c>
      <c r="L47" s="188">
        <v>860000</v>
      </c>
      <c r="M47" s="337"/>
      <c r="N47" s="189"/>
      <c r="O47" s="325"/>
      <c r="P47" s="189"/>
      <c r="Q47" s="330">
        <v>-0.11077312700799186</v>
      </c>
      <c r="R47" s="299">
        <f t="shared" si="12"/>
        <v>0</v>
      </c>
      <c r="S47" s="189">
        <f t="shared" si="13"/>
        <v>0</v>
      </c>
      <c r="T47" s="325"/>
      <c r="U47" s="189"/>
      <c r="V47" s="330">
        <v>-1.4998819768814222E-2</v>
      </c>
      <c r="W47" s="233" t="str">
        <f t="shared" si="6"/>
        <v/>
      </c>
      <c r="X47" s="299" t="str">
        <f t="shared" si="7"/>
        <v/>
      </c>
      <c r="Y47" s="325"/>
      <c r="Z47" s="189"/>
      <c r="AA47" s="330">
        <v>-2.9988337222863694E-3</v>
      </c>
      <c r="AB47" s="190"/>
    </row>
    <row r="48" spans="3:28" s="179" customFormat="1" ht="12" customHeight="1">
      <c r="C48" s="180" t="s">
        <v>222</v>
      </c>
      <c r="D48" s="181" t="s">
        <v>223</v>
      </c>
      <c r="E48" s="182"/>
      <c r="F48" s="183"/>
      <c r="G48" s="184" t="str">
        <f t="shared" si="9"/>
        <v/>
      </c>
      <c r="H48" s="184" t="str">
        <f t="shared" si="10"/>
        <v/>
      </c>
      <c r="I48" s="185" t="str">
        <f t="shared" si="11"/>
        <v/>
      </c>
      <c r="J48" s="186"/>
      <c r="K48" s="187">
        <f t="shared" si="3"/>
        <v>0</v>
      </c>
      <c r="L48" s="188">
        <v>744000</v>
      </c>
      <c r="M48" s="337"/>
      <c r="N48" s="189"/>
      <c r="O48" s="325"/>
      <c r="P48" s="189"/>
      <c r="Q48" s="330">
        <v>-0.1111705495019496</v>
      </c>
      <c r="R48" s="299">
        <f t="shared" si="12"/>
        <v>0</v>
      </c>
      <c r="S48" s="189">
        <f t="shared" si="13"/>
        <v>0</v>
      </c>
      <c r="T48" s="325"/>
      <c r="U48" s="189"/>
      <c r="V48" s="330">
        <v>-1.4998635754521835E-2</v>
      </c>
      <c r="W48" s="233" t="str">
        <f t="shared" si="6"/>
        <v/>
      </c>
      <c r="X48" s="299" t="str">
        <f t="shared" si="7"/>
        <v/>
      </c>
      <c r="Y48" s="325"/>
      <c r="Z48" s="189"/>
      <c r="AA48" s="330">
        <v>-2.9986518835324145E-3</v>
      </c>
      <c r="AB48" s="190"/>
    </row>
    <row r="49" spans="3:28" s="179" customFormat="1" ht="12" customHeight="1">
      <c r="C49" s="180" t="s">
        <v>224</v>
      </c>
      <c r="D49" s="181" t="s">
        <v>225</v>
      </c>
      <c r="E49" s="182"/>
      <c r="F49" s="183"/>
      <c r="G49" s="184" t="str">
        <f t="shared" si="9"/>
        <v/>
      </c>
      <c r="H49" s="184" t="str">
        <f t="shared" si="10"/>
        <v/>
      </c>
      <c r="I49" s="185" t="str">
        <f t="shared" si="11"/>
        <v/>
      </c>
      <c r="J49" s="186"/>
      <c r="K49" s="187">
        <f t="shared" si="3"/>
        <v>0</v>
      </c>
      <c r="L49" s="188">
        <v>1036469</v>
      </c>
      <c r="M49" s="337"/>
      <c r="N49" s="189"/>
      <c r="O49" s="325"/>
      <c r="P49" s="189"/>
      <c r="Q49" s="330">
        <v>-0.10066716836956208</v>
      </c>
      <c r="R49" s="299">
        <f t="shared" si="12"/>
        <v>0</v>
      </c>
      <c r="S49" s="189">
        <f t="shared" si="13"/>
        <v>0</v>
      </c>
      <c r="T49" s="325"/>
      <c r="U49" s="189"/>
      <c r="V49" s="330">
        <v>-1.0853184366165929E-2</v>
      </c>
      <c r="W49" s="233" t="str">
        <f t="shared" si="6"/>
        <v/>
      </c>
      <c r="X49" s="299" t="str">
        <f t="shared" si="7"/>
        <v/>
      </c>
      <c r="Y49" s="325"/>
      <c r="Z49" s="189"/>
      <c r="AA49" s="330">
        <v>-2.9990322922998254E-3</v>
      </c>
      <c r="AB49" s="190"/>
    </row>
    <row r="50" spans="3:28" s="179" customFormat="1" ht="12" customHeight="1">
      <c r="C50" s="180" t="s">
        <v>226</v>
      </c>
      <c r="D50" s="181" t="s">
        <v>227</v>
      </c>
      <c r="E50" s="182"/>
      <c r="F50" s="183"/>
      <c r="G50" s="184" t="str">
        <f t="shared" si="9"/>
        <v/>
      </c>
      <c r="H50" s="184" t="str">
        <f t="shared" si="10"/>
        <v/>
      </c>
      <c r="I50" s="185" t="str">
        <f t="shared" si="11"/>
        <v/>
      </c>
      <c r="J50" s="186"/>
      <c r="K50" s="187">
        <f t="shared" si="3"/>
        <v>0</v>
      </c>
      <c r="L50" s="188">
        <v>1100000</v>
      </c>
      <c r="M50" s="337"/>
      <c r="N50" s="189"/>
      <c r="O50" s="325"/>
      <c r="P50" s="189"/>
      <c r="Q50" s="330">
        <v>9.0909008264537942E-7</v>
      </c>
      <c r="R50" s="299">
        <f t="shared" si="12"/>
        <v>0</v>
      </c>
      <c r="S50" s="189">
        <f t="shared" si="13"/>
        <v>0</v>
      </c>
      <c r="T50" s="325"/>
      <c r="U50" s="189"/>
      <c r="V50" s="330">
        <v>9.0909008264537942E-7</v>
      </c>
      <c r="W50" s="233" t="str">
        <f t="shared" si="6"/>
        <v/>
      </c>
      <c r="X50" s="299" t="str">
        <f t="shared" si="7"/>
        <v/>
      </c>
      <c r="Y50" s="325"/>
      <c r="Z50" s="189"/>
      <c r="AA50" s="330">
        <v>-2.9990881826471067E-3</v>
      </c>
      <c r="AB50" s="190"/>
    </row>
    <row r="51" spans="3:28" s="179" customFormat="1" ht="12" customHeight="1">
      <c r="C51" s="180" t="s">
        <v>228</v>
      </c>
      <c r="D51" s="181" t="s">
        <v>229</v>
      </c>
      <c r="E51" s="182"/>
      <c r="F51" s="183"/>
      <c r="G51" s="184" t="str">
        <f t="shared" si="9"/>
        <v/>
      </c>
      <c r="H51" s="184" t="str">
        <f t="shared" si="10"/>
        <v/>
      </c>
      <c r="I51" s="185" t="str">
        <f t="shared" si="11"/>
        <v/>
      </c>
      <c r="J51" s="186"/>
      <c r="K51" s="187">
        <f t="shared" si="3"/>
        <v>0</v>
      </c>
      <c r="L51" s="188">
        <v>585000</v>
      </c>
      <c r="M51" s="337"/>
      <c r="N51" s="189"/>
      <c r="O51" s="325"/>
      <c r="P51" s="189"/>
      <c r="Q51" s="330">
        <v>-0.11199040685400538</v>
      </c>
      <c r="R51" s="299">
        <f t="shared" si="12"/>
        <v>0</v>
      </c>
      <c r="S51" s="189">
        <f t="shared" si="13"/>
        <v>0</v>
      </c>
      <c r="T51" s="325"/>
      <c r="U51" s="189"/>
      <c r="V51" s="330">
        <v>-1.504099992991465E-2</v>
      </c>
      <c r="W51" s="233" t="str">
        <f t="shared" si="6"/>
        <v/>
      </c>
      <c r="X51" s="299" t="str">
        <f t="shared" si="7"/>
        <v/>
      </c>
      <c r="Y51" s="325"/>
      <c r="Z51" s="189"/>
      <c r="AA51" s="330">
        <v>-2.9982854730162853E-3</v>
      </c>
      <c r="AB51" s="190"/>
    </row>
    <row r="52" spans="3:28" s="179" customFormat="1" ht="12" customHeight="1">
      <c r="C52" s="180" t="s">
        <v>109</v>
      </c>
      <c r="D52" s="181" t="s">
        <v>110</v>
      </c>
      <c r="E52" s="182"/>
      <c r="F52" s="183"/>
      <c r="G52" s="184" t="str">
        <f t="shared" si="9"/>
        <v/>
      </c>
      <c r="H52" s="184" t="str">
        <f t="shared" si="10"/>
        <v/>
      </c>
      <c r="I52" s="185" t="str">
        <f t="shared" si="11"/>
        <v/>
      </c>
      <c r="J52" s="186"/>
      <c r="K52" s="187">
        <f t="shared" si="3"/>
        <v>0</v>
      </c>
      <c r="L52" s="188">
        <v>1300000</v>
      </c>
      <c r="M52" s="337"/>
      <c r="N52" s="189"/>
      <c r="O52" s="325"/>
      <c r="P52" s="189"/>
      <c r="Q52" s="330">
        <v>-9.1753006343841273E-2</v>
      </c>
      <c r="R52" s="299">
        <f t="shared" si="12"/>
        <v>0</v>
      </c>
      <c r="S52" s="189">
        <f t="shared" si="13"/>
        <v>0</v>
      </c>
      <c r="T52" s="325"/>
      <c r="U52" s="189"/>
      <c r="V52" s="330">
        <v>-1.2939485277319017E-2</v>
      </c>
      <c r="W52" s="233" t="str">
        <f t="shared" si="6"/>
        <v/>
      </c>
      <c r="X52" s="299" t="str">
        <f t="shared" si="7"/>
        <v/>
      </c>
      <c r="Y52" s="325"/>
      <c r="Z52" s="189"/>
      <c r="AA52" s="330">
        <v>-2.9992284621319521E-3</v>
      </c>
      <c r="AB52" s="190"/>
    </row>
    <row r="53" spans="3:28" s="179" customFormat="1" ht="12" customHeight="1">
      <c r="C53" s="180" t="s">
        <v>151</v>
      </c>
      <c r="D53" s="181" t="s">
        <v>152</v>
      </c>
      <c r="E53" s="182"/>
      <c r="F53" s="183"/>
      <c r="G53" s="184">
        <f t="shared" si="9"/>
        <v>-9295</v>
      </c>
      <c r="H53" s="184">
        <f t="shared" si="10"/>
        <v>-2.176493345224309E-3</v>
      </c>
      <c r="I53" s="185">
        <f t="shared" si="11"/>
        <v>-9.9796207383225227E-3</v>
      </c>
      <c r="J53" s="186">
        <v>1000960</v>
      </c>
      <c r="K53" s="187">
        <f t="shared" si="3"/>
        <v>1010255</v>
      </c>
      <c r="L53" s="188">
        <v>1010255</v>
      </c>
      <c r="M53" s="337">
        <v>0.20468770449139276</v>
      </c>
      <c r="N53" s="189">
        <v>204885</v>
      </c>
      <c r="O53" s="325">
        <v>-0.11840544917424191</v>
      </c>
      <c r="P53" s="189">
        <v>-118518</v>
      </c>
      <c r="Q53" s="330">
        <v>-0.1162289558290176</v>
      </c>
      <c r="R53" s="299">
        <f t="shared" si="12"/>
        <v>2178.5827788357128</v>
      </c>
      <c r="S53" s="189">
        <f t="shared" si="13"/>
        <v>-117420.88377104417</v>
      </c>
      <c r="T53" s="325">
        <v>-2.5478566055153109E-2</v>
      </c>
      <c r="U53" s="189">
        <v>-25502</v>
      </c>
      <c r="V53" s="330">
        <v>-1.5498945316830586E-2</v>
      </c>
      <c r="W53" s="233">
        <f t="shared" si="6"/>
        <v>-15513.824304334743</v>
      </c>
      <c r="X53" s="299">
        <f t="shared" si="7"/>
        <v>9988.1756956652571</v>
      </c>
      <c r="Y53" s="325">
        <v>-5.2809355827761178E-3</v>
      </c>
      <c r="Z53" s="189">
        <v>-5285</v>
      </c>
      <c r="AA53" s="330">
        <v>-2.9990071823379418E-3</v>
      </c>
      <c r="AB53" s="190" t="s">
        <v>256</v>
      </c>
    </row>
    <row r="54" spans="3:28" s="179" customFormat="1" ht="12" customHeight="1">
      <c r="C54" s="180" t="s">
        <v>113</v>
      </c>
      <c r="D54" s="181" t="s">
        <v>114</v>
      </c>
      <c r="E54" s="182"/>
      <c r="F54" s="183"/>
      <c r="G54" s="184">
        <f t="shared" si="9"/>
        <v>34957</v>
      </c>
      <c r="H54" s="184">
        <f t="shared" si="10"/>
        <v>-1.9357026357568044E-2</v>
      </c>
      <c r="I54" s="185">
        <f t="shared" si="11"/>
        <v>-3.7367934731167719E-3</v>
      </c>
      <c r="J54" s="186">
        <v>1234957</v>
      </c>
      <c r="K54" s="187">
        <f t="shared" si="3"/>
        <v>1200000</v>
      </c>
      <c r="L54" s="188">
        <v>1200000</v>
      </c>
      <c r="M54" s="337">
        <v>0.18765688818063153</v>
      </c>
      <c r="N54" s="189">
        <v>231749</v>
      </c>
      <c r="O54" s="325">
        <v>-0.12208694074930605</v>
      </c>
      <c r="P54" s="189">
        <v>-150771</v>
      </c>
      <c r="Q54" s="330">
        <v>-0.10272991439173801</v>
      </c>
      <c r="R54" s="299">
        <f t="shared" si="12"/>
        <v>23905.095199463147</v>
      </c>
      <c r="S54" s="189">
        <f t="shared" si="13"/>
        <v>-123275.89727008561</v>
      </c>
      <c r="T54" s="325">
        <v>-1.9180440436744304E-2</v>
      </c>
      <c r="U54" s="189">
        <v>-23686</v>
      </c>
      <c r="V54" s="330">
        <v>-1.5443646963627532E-2</v>
      </c>
      <c r="W54" s="233">
        <f t="shared" si="6"/>
        <v>-19072.239923260568</v>
      </c>
      <c r="X54" s="299">
        <f t="shared" si="7"/>
        <v>4613.7600767394324</v>
      </c>
      <c r="Y54" s="325">
        <v>-7.3443912171769678E-3</v>
      </c>
      <c r="Z54" s="189">
        <v>-9069</v>
      </c>
      <c r="AA54" s="330">
        <v>-2.999164167363194E-3</v>
      </c>
      <c r="AB54" s="190" t="s">
        <v>257</v>
      </c>
    </row>
    <row r="55" spans="3:28" s="179" customFormat="1" ht="12" customHeight="1">
      <c r="C55" s="180" t="s">
        <v>131</v>
      </c>
      <c r="D55" s="181" t="s">
        <v>132</v>
      </c>
      <c r="E55" s="182"/>
      <c r="F55" s="183"/>
      <c r="G55" s="184">
        <f t="shared" si="9"/>
        <v>-131858</v>
      </c>
      <c r="H55" s="184">
        <f t="shared" si="10"/>
        <v>-9.7623501356044196E-3</v>
      </c>
      <c r="I55" s="185">
        <f t="shared" si="11"/>
        <v>-9.8005645407467194E-3</v>
      </c>
      <c r="J55" s="186">
        <v>1068142</v>
      </c>
      <c r="K55" s="187">
        <f t="shared" si="3"/>
        <v>1200000</v>
      </c>
      <c r="L55" s="188">
        <v>1200000</v>
      </c>
      <c r="M55" s="337">
        <v>0.21688147913056421</v>
      </c>
      <c r="N55" s="189">
        <v>231661</v>
      </c>
      <c r="O55" s="325">
        <v>-0.11970142518637521</v>
      </c>
      <c r="P55" s="189">
        <v>-127857</v>
      </c>
      <c r="Q55" s="330">
        <v>-0.10993907505077079</v>
      </c>
      <c r="R55" s="299">
        <f t="shared" si="12"/>
        <v>10427.576198544775</v>
      </c>
      <c r="S55" s="189">
        <f t="shared" si="13"/>
        <v>-131926.89006092495</v>
      </c>
      <c r="T55" s="325">
        <v>-2.5243858254668624E-2</v>
      </c>
      <c r="U55" s="189">
        <v>-26963</v>
      </c>
      <c r="V55" s="330">
        <v>-1.5443293713921905E-2</v>
      </c>
      <c r="W55" s="233">
        <f t="shared" si="6"/>
        <v>-16495.63063417597</v>
      </c>
      <c r="X55" s="299">
        <f t="shared" si="7"/>
        <v>10467.36936582403</v>
      </c>
      <c r="Y55" s="325">
        <v>-3.6493309403908287E-3</v>
      </c>
      <c r="Z55" s="189">
        <v>-3897</v>
      </c>
      <c r="AA55" s="330">
        <v>-2.999164167363194E-3</v>
      </c>
      <c r="AB55" s="190" t="s">
        <v>164</v>
      </c>
    </row>
    <row r="56" spans="3:28" s="179" customFormat="1" ht="12" customHeight="1">
      <c r="C56" s="180" t="s">
        <v>97</v>
      </c>
      <c r="D56" s="181" t="s">
        <v>98</v>
      </c>
      <c r="E56" s="182"/>
      <c r="F56" s="183"/>
      <c r="G56" s="184">
        <f t="shared" si="9"/>
        <v>-119605</v>
      </c>
      <c r="H56" s="184">
        <f t="shared" si="10"/>
        <v>1.6206119895870702E-2</v>
      </c>
      <c r="I56" s="185">
        <f t="shared" si="11"/>
        <v>1.5428696174472917E-3</v>
      </c>
      <c r="J56" s="186">
        <v>1630395</v>
      </c>
      <c r="K56" s="187">
        <f t="shared" si="3"/>
        <v>1750000</v>
      </c>
      <c r="L56" s="188">
        <v>1750000</v>
      </c>
      <c r="M56" s="337">
        <v>0.19590479356523638</v>
      </c>
      <c r="N56" s="189">
        <v>319403</v>
      </c>
      <c r="O56" s="325">
        <v>-8.9353248355918874E-2</v>
      </c>
      <c r="P56" s="189">
        <v>-145680</v>
      </c>
      <c r="Q56" s="330">
        <v>-0.10555936825178958</v>
      </c>
      <c r="R56" s="299">
        <f t="shared" si="12"/>
        <v>-26422.376847628097</v>
      </c>
      <c r="S56" s="189">
        <f t="shared" si="13"/>
        <v>-184728.89444063176</v>
      </c>
      <c r="T56" s="325">
        <v>-1.3120754860481577E-2</v>
      </c>
      <c r="U56" s="189">
        <v>-21391</v>
      </c>
      <c r="V56" s="330">
        <v>-1.4663624477928868E-2</v>
      </c>
      <c r="W56" s="233">
        <f t="shared" si="6"/>
        <v>-23907.500030692838</v>
      </c>
      <c r="X56" s="299">
        <f t="shared" si="7"/>
        <v>-2516.5000306928378</v>
      </c>
      <c r="Y56" s="325">
        <v>-1.568332562558498E-3</v>
      </c>
      <c r="Z56" s="189">
        <v>-2556</v>
      </c>
      <c r="AA56" s="330">
        <v>-2.9994268574703672E-3</v>
      </c>
      <c r="AB56" s="190" t="s">
        <v>164</v>
      </c>
    </row>
    <row r="57" spans="3:28" s="179" customFormat="1" ht="12" customHeight="1">
      <c r="C57" s="180" t="s">
        <v>69</v>
      </c>
      <c r="D57" s="181" t="s">
        <v>70</v>
      </c>
      <c r="E57" s="182"/>
      <c r="F57" s="183"/>
      <c r="G57" s="184">
        <f t="shared" si="9"/>
        <v>-20225</v>
      </c>
      <c r="H57" s="184">
        <f t="shared" si="10"/>
        <v>-1.5538196527736997E-2</v>
      </c>
      <c r="I57" s="185">
        <f t="shared" si="11"/>
        <v>-8.1878269027175991E-3</v>
      </c>
      <c r="J57" s="186">
        <v>1779775</v>
      </c>
      <c r="K57" s="187">
        <f t="shared" si="3"/>
        <v>1800000</v>
      </c>
      <c r="L57" s="188">
        <v>1800000</v>
      </c>
      <c r="M57" s="337">
        <v>0.22785252509588297</v>
      </c>
      <c r="N57" s="189">
        <v>405527</v>
      </c>
      <c r="O57" s="325">
        <v>-0.11236314273610021</v>
      </c>
      <c r="P57" s="189">
        <v>-199980</v>
      </c>
      <c r="Q57" s="330">
        <v>-9.6824946208363211E-2</v>
      </c>
      <c r="R57" s="299">
        <f t="shared" si="12"/>
        <v>27654.493725153123</v>
      </c>
      <c r="S57" s="189">
        <f t="shared" si="13"/>
        <v>-174284.90317505377</v>
      </c>
      <c r="T57" s="325">
        <v>-2.339960017395467E-2</v>
      </c>
      <c r="U57" s="189">
        <v>-41645</v>
      </c>
      <c r="V57" s="330">
        <v>-1.5211773271237071E-2</v>
      </c>
      <c r="W57" s="233">
        <f t="shared" si="6"/>
        <v>-27073.533773815958</v>
      </c>
      <c r="X57" s="299">
        <f t="shared" si="7"/>
        <v>14571.466226184042</v>
      </c>
      <c r="Y57" s="325">
        <v>-4.4033680680805537E-3</v>
      </c>
      <c r="Z57" s="189">
        <v>-7836</v>
      </c>
      <c r="AA57" s="330">
        <v>-2.9994427780873456E-3</v>
      </c>
      <c r="AB57" s="190" t="s">
        <v>258</v>
      </c>
    </row>
    <row r="58" spans="3:28" s="179" customFormat="1" ht="12" customHeight="1">
      <c r="C58" s="180" t="s">
        <v>119</v>
      </c>
      <c r="D58" s="181" t="s">
        <v>120</v>
      </c>
      <c r="E58" s="182"/>
      <c r="F58" s="183"/>
      <c r="G58" s="184">
        <f t="shared" si="9"/>
        <v>-80515</v>
      </c>
      <c r="H58" s="184">
        <f t="shared" si="10"/>
        <v>-8.7592472484542272E-3</v>
      </c>
      <c r="I58" s="185">
        <f t="shared" si="11"/>
        <v>-1.6504559027182349E-2</v>
      </c>
      <c r="J58" s="186">
        <v>819485</v>
      </c>
      <c r="K58" s="187">
        <f t="shared" si="3"/>
        <v>900000</v>
      </c>
      <c r="L58" s="188">
        <v>900000</v>
      </c>
      <c r="M58" s="337">
        <v>0.19501539993459299</v>
      </c>
      <c r="N58" s="189">
        <v>159813</v>
      </c>
      <c r="O58" s="325">
        <v>-0.12125801113871656</v>
      </c>
      <c r="P58" s="189">
        <v>-99368</v>
      </c>
      <c r="Q58" s="330">
        <v>-0.11249876389026234</v>
      </c>
      <c r="R58" s="299">
        <f t="shared" si="12"/>
        <v>7178.0717313995119</v>
      </c>
      <c r="S58" s="189">
        <f t="shared" si="13"/>
        <v>-101248.88750123611</v>
      </c>
      <c r="T58" s="325">
        <v>-3.4215433126211128E-2</v>
      </c>
      <c r="U58" s="189">
        <v>-28038</v>
      </c>
      <c r="V58" s="330">
        <v>-1.771087409902878E-2</v>
      </c>
      <c r="W58" s="233">
        <f t="shared" si="6"/>
        <v>-14513.795661042599</v>
      </c>
      <c r="X58" s="299">
        <f t="shared" si="7"/>
        <v>13524.204338957401</v>
      </c>
      <c r="Y58" s="325">
        <v>-6.008659107438339E-3</v>
      </c>
      <c r="Z58" s="189">
        <v>-4923</v>
      </c>
      <c r="AA58" s="330">
        <v>-2.9988855567938256E-3</v>
      </c>
      <c r="AB58" s="190" t="s">
        <v>164</v>
      </c>
    </row>
    <row r="59" spans="3:28" s="179" customFormat="1" ht="12" customHeight="1">
      <c r="C59" s="180" t="s">
        <v>141</v>
      </c>
      <c r="D59" s="181" t="s">
        <v>142</v>
      </c>
      <c r="E59" s="182"/>
      <c r="F59" s="183"/>
      <c r="G59" s="184">
        <f t="shared" si="9"/>
        <v>-159238</v>
      </c>
      <c r="H59" s="184">
        <f t="shared" si="10"/>
        <v>-5.1734999443613081E-2</v>
      </c>
      <c r="I59" s="185">
        <f t="shared" si="11"/>
        <v>-9.6075943795423478E-3</v>
      </c>
      <c r="J59" s="186">
        <v>940762</v>
      </c>
      <c r="K59" s="187">
        <f t="shared" si="3"/>
        <v>1100000</v>
      </c>
      <c r="L59" s="188">
        <v>1100000</v>
      </c>
      <c r="M59" s="337">
        <v>0.17202350012383591</v>
      </c>
      <c r="N59" s="189">
        <v>161834</v>
      </c>
      <c r="O59" s="325">
        <v>-0.15200672646931579</v>
      </c>
      <c r="P59" s="189">
        <v>-143001</v>
      </c>
      <c r="Q59" s="330">
        <v>-0.10027172702570271</v>
      </c>
      <c r="R59" s="299">
        <f t="shared" si="12"/>
        <v>48670.321546572319</v>
      </c>
      <c r="S59" s="189">
        <f t="shared" si="13"/>
        <v>-110298.89972827298</v>
      </c>
      <c r="T59" s="325">
        <v>-2.4469551777762895E-2</v>
      </c>
      <c r="U59" s="189">
        <v>-23019</v>
      </c>
      <c r="V59" s="330">
        <v>-1.4861957398220547E-2</v>
      </c>
      <c r="W59" s="233">
        <f t="shared" si="6"/>
        <v>-13981.564765864758</v>
      </c>
      <c r="X59" s="299">
        <f t="shared" si="7"/>
        <v>9037.4352341352424</v>
      </c>
      <c r="Y59" s="325">
        <v>-1.9686190222596386E-3</v>
      </c>
      <c r="Z59" s="189">
        <v>-1851</v>
      </c>
      <c r="AA59" s="330">
        <v>-2.9990881826471067E-3</v>
      </c>
      <c r="AB59" s="190" t="s">
        <v>259</v>
      </c>
    </row>
    <row r="60" spans="3:28" s="179" customFormat="1" ht="12" customHeight="1">
      <c r="C60" s="180" t="s">
        <v>107</v>
      </c>
      <c r="D60" s="181" t="s">
        <v>108</v>
      </c>
      <c r="E60" s="182"/>
      <c r="F60" s="183"/>
      <c r="G60" s="184">
        <f t="shared" si="9"/>
        <v>21528</v>
      </c>
      <c r="H60" s="184">
        <f t="shared" si="10"/>
        <v>-5.4247189111008912E-2</v>
      </c>
      <c r="I60" s="185">
        <f t="shared" si="11"/>
        <v>-2.7886833594431507E-3</v>
      </c>
      <c r="J60" s="186">
        <v>1121528</v>
      </c>
      <c r="K60" s="187">
        <f t="shared" si="3"/>
        <v>1100000</v>
      </c>
      <c r="L60" s="188">
        <v>1100000</v>
      </c>
      <c r="M60" s="337">
        <v>0.22688085083997087</v>
      </c>
      <c r="N60" s="189">
        <v>254454</v>
      </c>
      <c r="O60" s="325">
        <v>-0.14438528898546357</v>
      </c>
      <c r="P60" s="189">
        <v>-161931</v>
      </c>
      <c r="Q60" s="330">
        <v>-9.0138099874454661E-2</v>
      </c>
      <c r="R60" s="299">
        <f t="shared" si="12"/>
        <v>60839.741509291605</v>
      </c>
      <c r="S60" s="189">
        <f t="shared" si="13"/>
        <v>-99151.909861900131</v>
      </c>
      <c r="T60" s="325">
        <v>-1.7351343302479567E-2</v>
      </c>
      <c r="U60" s="189">
        <v>-19459</v>
      </c>
      <c r="V60" s="330">
        <v>-1.4562659943036417E-2</v>
      </c>
      <c r="W60" s="233">
        <f t="shared" si="6"/>
        <v>-16332.430880593747</v>
      </c>
      <c r="X60" s="299">
        <f t="shared" si="7"/>
        <v>3126.5691194062529</v>
      </c>
      <c r="Y60" s="325">
        <v>-3.9829625145003196E-3</v>
      </c>
      <c r="Z60" s="189">
        <v>-4466</v>
      </c>
      <c r="AA60" s="330">
        <v>-2.9990881826471067E-3</v>
      </c>
      <c r="AB60" s="190" t="s">
        <v>260</v>
      </c>
    </row>
    <row r="61" spans="3:28" s="179" customFormat="1" ht="12" customHeight="1">
      <c r="C61" s="180" t="s">
        <v>73</v>
      </c>
      <c r="D61" s="181" t="s">
        <v>74</v>
      </c>
      <c r="E61" s="182"/>
      <c r="F61" s="183"/>
      <c r="G61" s="184">
        <f t="shared" si="9"/>
        <v>-27113</v>
      </c>
      <c r="H61" s="184">
        <f t="shared" si="10"/>
        <v>3.5094041883266258E-3</v>
      </c>
      <c r="I61" s="185">
        <f t="shared" si="11"/>
        <v>-5.1575099939424364E-3</v>
      </c>
      <c r="J61" s="186">
        <v>1042887</v>
      </c>
      <c r="K61" s="187">
        <f t="shared" si="3"/>
        <v>1070000</v>
      </c>
      <c r="L61" s="188">
        <v>1070000</v>
      </c>
      <c r="M61" s="337">
        <v>0</v>
      </c>
      <c r="N61" s="189">
        <v>1</v>
      </c>
      <c r="O61" s="325">
        <v>-0.11085871322464776</v>
      </c>
      <c r="P61" s="189">
        <v>-115612</v>
      </c>
      <c r="Q61" s="330">
        <v>-0.11436811741297438</v>
      </c>
      <c r="R61" s="299">
        <f t="shared" si="12"/>
        <v>-3659.9120057513937</v>
      </c>
      <c r="S61" s="189">
        <f t="shared" si="13"/>
        <v>-122373.88563188259</v>
      </c>
      <c r="T61" s="325">
        <v>-2.0804766772207127E-2</v>
      </c>
      <c r="U61" s="189">
        <v>-21696</v>
      </c>
      <c r="V61" s="330">
        <v>-1.5647256778264691E-2</v>
      </c>
      <c r="W61" s="233">
        <f t="shared" si="6"/>
        <v>-16318.320679714128</v>
      </c>
      <c r="X61" s="299">
        <f t="shared" si="7"/>
        <v>5377.6793202858717</v>
      </c>
      <c r="Y61" s="325">
        <v>-7.1676098825758519E-3</v>
      </c>
      <c r="Z61" s="189">
        <v>-7474</v>
      </c>
      <c r="AA61" s="330">
        <v>-2.9990626176984881E-3</v>
      </c>
      <c r="AB61" s="190" t="s">
        <v>164</v>
      </c>
    </row>
    <row r="62" spans="3:28" s="179" customFormat="1" ht="12" customHeight="1">
      <c r="C62" s="180" t="s">
        <v>133</v>
      </c>
      <c r="D62" s="181" t="s">
        <v>134</v>
      </c>
      <c r="E62" s="182"/>
      <c r="F62" s="183"/>
      <c r="G62" s="184">
        <f t="shared" si="9"/>
        <v>140291</v>
      </c>
      <c r="H62" s="184">
        <f t="shared" si="10"/>
        <v>-2.1847337256648752E-2</v>
      </c>
      <c r="I62" s="185">
        <f t="shared" si="11"/>
        <v>2.0966312353398985E-3</v>
      </c>
      <c r="J62" s="186">
        <v>740291</v>
      </c>
      <c r="K62" s="187">
        <f t="shared" si="3"/>
        <v>600000</v>
      </c>
      <c r="L62" s="188">
        <v>600000</v>
      </c>
      <c r="M62" s="337">
        <v>0.20962460657309973</v>
      </c>
      <c r="N62" s="189">
        <v>155184</v>
      </c>
      <c r="O62" s="325">
        <v>-0.14259546934309528</v>
      </c>
      <c r="P62" s="189">
        <v>-105561</v>
      </c>
      <c r="Q62" s="330">
        <v>-0.12074813208644652</v>
      </c>
      <c r="R62" s="299">
        <f t="shared" si="12"/>
        <v>16173.387145061759</v>
      </c>
      <c r="S62" s="189">
        <f t="shared" si="13"/>
        <v>-72448.879251867911</v>
      </c>
      <c r="T62" s="325">
        <v>-1.5930243553202123E-2</v>
      </c>
      <c r="U62" s="189">
        <v>-11792</v>
      </c>
      <c r="V62" s="330">
        <v>-1.8026874788542022E-2</v>
      </c>
      <c r="W62" s="233">
        <f t="shared" si="6"/>
        <v>-13345.133164084562</v>
      </c>
      <c r="X62" s="299">
        <f t="shared" si="7"/>
        <v>-1553.1331640845619</v>
      </c>
      <c r="Y62" s="325">
        <v>-9.2490780640019452E-3</v>
      </c>
      <c r="Z62" s="189">
        <v>-6846</v>
      </c>
      <c r="AA62" s="330">
        <v>-2.9983283361194398E-3</v>
      </c>
      <c r="AB62" s="190" t="s">
        <v>167</v>
      </c>
    </row>
    <row r="63" spans="3:28" s="179" customFormat="1" ht="12" customHeight="1">
      <c r="C63" s="180" t="s">
        <v>101</v>
      </c>
      <c r="D63" s="181" t="s">
        <v>102</v>
      </c>
      <c r="E63" s="182"/>
      <c r="F63" s="183"/>
      <c r="G63" s="184">
        <f t="shared" si="9"/>
        <v>-856197</v>
      </c>
      <c r="H63" s="184">
        <f t="shared" si="10"/>
        <v>-6.6987284874039307E-2</v>
      </c>
      <c r="I63" s="185">
        <f t="shared" si="11"/>
        <v>-2.6368780993379345E-2</v>
      </c>
      <c r="J63" s="186">
        <v>1143803</v>
      </c>
      <c r="K63" s="187">
        <f t="shared" si="3"/>
        <v>2000000</v>
      </c>
      <c r="L63" s="188">
        <v>2000000</v>
      </c>
      <c r="M63" s="337">
        <v>0.19560378457110583</v>
      </c>
      <c r="N63" s="189">
        <v>223733</v>
      </c>
      <c r="O63" s="325">
        <v>-0.16860173351681498</v>
      </c>
      <c r="P63" s="189">
        <v>-192846</v>
      </c>
      <c r="Q63" s="330">
        <v>-0.10161444864277568</v>
      </c>
      <c r="R63" s="299">
        <f t="shared" si="12"/>
        <v>76620.257400780771</v>
      </c>
      <c r="S63" s="189">
        <f t="shared" si="13"/>
        <v>-203228.89728555136</v>
      </c>
      <c r="T63" s="325">
        <v>-4.1411887721825982E-2</v>
      </c>
      <c r="U63" s="189">
        <v>-47366</v>
      </c>
      <c r="V63" s="330">
        <v>-1.5043106728446637E-2</v>
      </c>
      <c r="W63" s="233">
        <f t="shared" si="6"/>
        <v>-17206.35060531745</v>
      </c>
      <c r="X63" s="299">
        <f t="shared" si="7"/>
        <v>30159.64939468255</v>
      </c>
      <c r="Y63" s="325">
        <v>-5.3724333407355468E-3</v>
      </c>
      <c r="Z63" s="189">
        <v>-6144</v>
      </c>
      <c r="AA63" s="330">
        <v>-2.9994985002507499E-3</v>
      </c>
      <c r="AB63" s="190" t="s">
        <v>261</v>
      </c>
    </row>
    <row r="64" spans="3:28" s="179" customFormat="1" ht="12" customHeight="1">
      <c r="C64" s="180" t="s">
        <v>230</v>
      </c>
      <c r="D64" s="181" t="s">
        <v>231</v>
      </c>
      <c r="E64" s="182"/>
      <c r="F64" s="183"/>
      <c r="G64" s="184" t="str">
        <f t="shared" si="9"/>
        <v/>
      </c>
      <c r="H64" s="184" t="str">
        <f t="shared" si="10"/>
        <v/>
      </c>
      <c r="I64" s="185" t="str">
        <f t="shared" si="11"/>
        <v/>
      </c>
      <c r="J64" s="186"/>
      <c r="K64" s="187">
        <f t="shared" si="3"/>
        <v>0</v>
      </c>
      <c r="L64" s="188">
        <v>2526009.1724</v>
      </c>
      <c r="M64" s="337"/>
      <c r="N64" s="189"/>
      <c r="O64" s="325"/>
      <c r="P64" s="189"/>
      <c r="Q64" s="330">
        <v>-8.5271296352440615E-2</v>
      </c>
      <c r="R64" s="299">
        <f t="shared" si="12"/>
        <v>0</v>
      </c>
      <c r="S64" s="189">
        <f t="shared" si="13"/>
        <v>0</v>
      </c>
      <c r="T64" s="325"/>
      <c r="U64" s="189"/>
      <c r="V64" s="330">
        <v>-1.4436387706765516E-2</v>
      </c>
      <c r="W64" s="233" t="str">
        <f t="shared" si="6"/>
        <v/>
      </c>
      <c r="X64" s="299" t="str">
        <f t="shared" si="7"/>
        <v/>
      </c>
      <c r="Y64" s="325"/>
      <c r="Z64" s="189"/>
      <c r="AA64" s="330">
        <v>-2.9996029243227287E-3</v>
      </c>
      <c r="AB64" s="190"/>
    </row>
    <row r="65" spans="3:28" s="179" customFormat="1" ht="12" customHeight="1">
      <c r="C65" s="180" t="s">
        <v>99</v>
      </c>
      <c r="D65" s="181" t="s">
        <v>100</v>
      </c>
      <c r="E65" s="182"/>
      <c r="F65" s="183"/>
      <c r="G65" s="184">
        <f t="shared" si="9"/>
        <v>381566</v>
      </c>
      <c r="H65" s="184">
        <f t="shared" si="10"/>
        <v>2.5016167250649188E-2</v>
      </c>
      <c r="I65" s="185">
        <f t="shared" si="11"/>
        <v>3.3879153325080801E-3</v>
      </c>
      <c r="J65" s="186">
        <v>1571566</v>
      </c>
      <c r="K65" s="187">
        <f t="shared" si="3"/>
        <v>1190000</v>
      </c>
      <c r="L65" s="188">
        <v>1190000</v>
      </c>
      <c r="M65" s="337">
        <v>0.22017733914919205</v>
      </c>
      <c r="N65" s="189">
        <v>346024</v>
      </c>
      <c r="O65" s="325">
        <v>-9.0598861644284517E-2</v>
      </c>
      <c r="P65" s="189">
        <v>-142381</v>
      </c>
      <c r="Q65" s="330">
        <v>-0.11561502889493371</v>
      </c>
      <c r="R65" s="299">
        <f t="shared" si="12"/>
        <v>-39314.557901433756</v>
      </c>
      <c r="S65" s="189">
        <f t="shared" si="13"/>
        <v>-137581.88438497111</v>
      </c>
      <c r="T65" s="325">
        <v>-1.1389283930349683E-2</v>
      </c>
      <c r="U65" s="189">
        <v>-17898</v>
      </c>
      <c r="V65" s="330">
        <v>-1.4777199262857763E-2</v>
      </c>
      <c r="W65" s="233">
        <f t="shared" si="6"/>
        <v>-23223.343936732323</v>
      </c>
      <c r="X65" s="299">
        <f t="shared" si="7"/>
        <v>-5325.3439367323226</v>
      </c>
      <c r="Y65" s="325">
        <v>-1.2783435619907544E-3</v>
      </c>
      <c r="Z65" s="189">
        <v>-2008</v>
      </c>
      <c r="AA65" s="330">
        <v>-2.9991571435654257E-3</v>
      </c>
      <c r="AB65" s="190" t="s">
        <v>262</v>
      </c>
    </row>
    <row r="66" spans="3:28" s="179" customFormat="1" ht="12" customHeight="1">
      <c r="C66" s="180" t="s">
        <v>139</v>
      </c>
      <c r="D66" s="181" t="s">
        <v>140</v>
      </c>
      <c r="E66" s="182"/>
      <c r="F66" s="183"/>
      <c r="G66" s="184" t="str">
        <f t="shared" si="9"/>
        <v/>
      </c>
      <c r="H66" s="184" t="str">
        <f t="shared" si="10"/>
        <v/>
      </c>
      <c r="I66" s="185" t="str">
        <f t="shared" si="11"/>
        <v/>
      </c>
      <c r="J66" s="186"/>
      <c r="K66" s="187">
        <f t="shared" si="3"/>
        <v>0</v>
      </c>
      <c r="L66" s="188">
        <v>1134207.3041000001</v>
      </c>
      <c r="M66" s="337"/>
      <c r="N66" s="189"/>
      <c r="O66" s="325"/>
      <c r="P66" s="189"/>
      <c r="Q66" s="330">
        <v>-0.10735858621368737</v>
      </c>
      <c r="R66" s="299">
        <f t="shared" si="12"/>
        <v>0</v>
      </c>
      <c r="S66" s="189">
        <f t="shared" si="13"/>
        <v>0</v>
      </c>
      <c r="T66" s="325"/>
      <c r="U66" s="189"/>
      <c r="V66" s="330">
        <v>-1.4898127388873523E-2</v>
      </c>
      <c r="W66" s="233" t="str">
        <f t="shared" si="6"/>
        <v/>
      </c>
      <c r="X66" s="299" t="str">
        <f t="shared" si="7"/>
        <v/>
      </c>
      <c r="Y66" s="325"/>
      <c r="Z66" s="189"/>
      <c r="AA66" s="330">
        <v>-2.999115671877578E-3</v>
      </c>
      <c r="AB66" s="190"/>
    </row>
    <row r="67" spans="3:28" s="179" customFormat="1" ht="12" customHeight="1">
      <c r="C67" s="180" t="s">
        <v>127</v>
      </c>
      <c r="D67" s="181" t="s">
        <v>128</v>
      </c>
      <c r="E67" s="182"/>
      <c r="F67" s="183"/>
      <c r="G67" s="184">
        <f t="shared" si="9"/>
        <v>-57671</v>
      </c>
      <c r="H67" s="184">
        <f t="shared" si="10"/>
        <v>1.2714958011998817E-3</v>
      </c>
      <c r="I67" s="185">
        <f t="shared" si="11"/>
        <v>-7.2218516762087258E-3</v>
      </c>
      <c r="J67" s="186">
        <v>1182329</v>
      </c>
      <c r="K67" s="187">
        <f t="shared" si="3"/>
        <v>1240000</v>
      </c>
      <c r="L67" s="188">
        <v>1240000</v>
      </c>
      <c r="M67" s="337">
        <v>0.20950362336001516</v>
      </c>
      <c r="N67" s="189">
        <v>247703</v>
      </c>
      <c r="O67" s="325">
        <v>-0.1095026084132322</v>
      </c>
      <c r="P67" s="189">
        <v>-129467</v>
      </c>
      <c r="Q67" s="330">
        <v>-0.11077410421443208</v>
      </c>
      <c r="R67" s="299">
        <f t="shared" si="12"/>
        <v>-1503.3263591368595</v>
      </c>
      <c r="S67" s="189">
        <f t="shared" si="13"/>
        <v>-137359.88922589578</v>
      </c>
      <c r="T67" s="325">
        <v>-2.3441041741378028E-2</v>
      </c>
      <c r="U67" s="189">
        <v>-27714</v>
      </c>
      <c r="V67" s="330">
        <v>-1.6219190065169302E-2</v>
      </c>
      <c r="W67" s="233">
        <f t="shared" si="6"/>
        <v>-19176.418770561555</v>
      </c>
      <c r="X67" s="299">
        <f t="shared" si="7"/>
        <v>8537.581229438445</v>
      </c>
      <c r="Y67" s="325">
        <v>-3.2613623292352036E-3</v>
      </c>
      <c r="Z67" s="189">
        <v>-3855</v>
      </c>
      <c r="AA67" s="330">
        <v>-2.999191129684573E-3</v>
      </c>
      <c r="AB67" s="190" t="s">
        <v>164</v>
      </c>
    </row>
    <row r="68" spans="3:28" s="179" customFormat="1" ht="12" customHeight="1">
      <c r="C68" s="180" t="s">
        <v>232</v>
      </c>
      <c r="D68" s="181" t="s">
        <v>233</v>
      </c>
      <c r="E68" s="182"/>
      <c r="F68" s="183"/>
      <c r="G68" s="184" t="str">
        <f t="shared" si="9"/>
        <v/>
      </c>
      <c r="H68" s="184" t="str">
        <f t="shared" si="10"/>
        <v/>
      </c>
      <c r="I68" s="185" t="str">
        <f t="shared" si="11"/>
        <v/>
      </c>
      <c r="J68" s="186"/>
      <c r="K68" s="187">
        <f t="shared" si="3"/>
        <v>0</v>
      </c>
      <c r="L68" s="188">
        <v>1200000</v>
      </c>
      <c r="M68" s="337"/>
      <c r="N68" s="189"/>
      <c r="O68" s="325"/>
      <c r="P68" s="189"/>
      <c r="Q68" s="330">
        <v>-0.1028249143125714</v>
      </c>
      <c r="R68" s="299">
        <f t="shared" si="12"/>
        <v>0</v>
      </c>
      <c r="S68" s="189">
        <f t="shared" si="13"/>
        <v>0</v>
      </c>
      <c r="T68" s="325"/>
      <c r="U68" s="189"/>
      <c r="V68" s="330">
        <v>-1.4856538369551359E-2</v>
      </c>
      <c r="W68" s="233" t="str">
        <f t="shared" si="6"/>
        <v/>
      </c>
      <c r="X68" s="299" t="str">
        <f t="shared" si="7"/>
        <v/>
      </c>
      <c r="Y68" s="325"/>
      <c r="Z68" s="189"/>
      <c r="AA68" s="330">
        <v>-2.999164167363194E-3</v>
      </c>
      <c r="AB68" s="190"/>
    </row>
    <row r="69" spans="3:28" s="179" customFormat="1" ht="12" customHeight="1">
      <c r="C69" s="180" t="s">
        <v>234</v>
      </c>
      <c r="D69" s="181" t="s">
        <v>235</v>
      </c>
      <c r="E69" s="182"/>
      <c r="F69" s="183"/>
      <c r="G69" s="184" t="str">
        <f t="shared" si="9"/>
        <v/>
      </c>
      <c r="H69" s="184" t="str">
        <f t="shared" si="10"/>
        <v/>
      </c>
      <c r="I69" s="185" t="str">
        <f t="shared" si="11"/>
        <v/>
      </c>
      <c r="J69" s="186"/>
      <c r="K69" s="187">
        <f t="shared" si="3"/>
        <v>0</v>
      </c>
      <c r="L69" s="188">
        <v>1550000</v>
      </c>
      <c r="M69" s="337"/>
      <c r="N69" s="189"/>
      <c r="O69" s="325"/>
      <c r="P69" s="189"/>
      <c r="Q69" s="330">
        <v>-9.2022521275792732E-2</v>
      </c>
      <c r="R69" s="299">
        <f t="shared" si="12"/>
        <v>0</v>
      </c>
      <c r="S69" s="189">
        <f t="shared" si="13"/>
        <v>0</v>
      </c>
      <c r="T69" s="325"/>
      <c r="U69" s="189"/>
      <c r="V69" s="330">
        <v>-1.4544740293715941E-2</v>
      </c>
      <c r="W69" s="233" t="str">
        <f t="shared" si="6"/>
        <v/>
      </c>
      <c r="X69" s="299" t="str">
        <f t="shared" si="7"/>
        <v/>
      </c>
      <c r="Y69" s="325"/>
      <c r="Z69" s="189"/>
      <c r="AA69" s="330">
        <v>-2.9993529036432881E-3</v>
      </c>
      <c r="AB69" s="190"/>
    </row>
    <row r="70" spans="3:28" s="179" customFormat="1" ht="12" customHeight="1">
      <c r="C70" s="180" t="s">
        <v>236</v>
      </c>
      <c r="D70" s="181" t="s">
        <v>237</v>
      </c>
      <c r="E70" s="182"/>
      <c r="F70" s="183"/>
      <c r="G70" s="184" t="str">
        <f t="shared" si="9"/>
        <v/>
      </c>
      <c r="H70" s="184" t="str">
        <f t="shared" si="10"/>
        <v/>
      </c>
      <c r="I70" s="185" t="str">
        <f t="shared" si="11"/>
        <v/>
      </c>
      <c r="J70" s="186"/>
      <c r="K70" s="187">
        <f t="shared" si="3"/>
        <v>0</v>
      </c>
      <c r="L70" s="188">
        <v>1000000</v>
      </c>
      <c r="M70" s="337"/>
      <c r="N70" s="189"/>
      <c r="O70" s="325"/>
      <c r="P70" s="189"/>
      <c r="Q70" s="330">
        <v>-0.11906588093411907</v>
      </c>
      <c r="R70" s="299">
        <f t="shared" si="12"/>
        <v>0</v>
      </c>
      <c r="S70" s="189">
        <f t="shared" si="13"/>
        <v>0</v>
      </c>
      <c r="T70" s="325"/>
      <c r="U70" s="189"/>
      <c r="V70" s="330">
        <v>-1.5645140854859144E-2</v>
      </c>
      <c r="W70" s="233" t="str">
        <f t="shared" si="6"/>
        <v/>
      </c>
      <c r="X70" s="299" t="str">
        <f t="shared" si="7"/>
        <v/>
      </c>
      <c r="Y70" s="325"/>
      <c r="Z70" s="189"/>
      <c r="AA70" s="330">
        <v>-2.9989970010029991E-3</v>
      </c>
      <c r="AB70" s="190"/>
    </row>
    <row r="71" spans="3:28" ht="12" customHeight="1">
      <c r="C71" s="180" t="s">
        <v>238</v>
      </c>
      <c r="D71" s="181" t="s">
        <v>239</v>
      </c>
      <c r="E71" s="182"/>
      <c r="F71" s="183"/>
      <c r="G71" s="184" t="str">
        <f t="shared" ref="G71:G95" si="14">IFERROR(IF(J71=0,"",J71-L71),0)</f>
        <v/>
      </c>
      <c r="H71" s="184" t="str">
        <f t="shared" ref="H71:H95" si="15">IFERROR(IF(O71=0,"",O71-Q71),0)</f>
        <v/>
      </c>
      <c r="I71" s="185" t="str">
        <f t="shared" ref="I71:I95" si="16">IFERROR(IF(J71=0,"",T71-V71),"")</f>
        <v/>
      </c>
      <c r="J71" s="186"/>
      <c r="K71" s="187">
        <f t="shared" ref="K71:K95" si="17">IF(J71=0,0,L71)</f>
        <v>0</v>
      </c>
      <c r="L71" s="188">
        <v>2150000</v>
      </c>
      <c r="M71" s="337"/>
      <c r="N71" s="189"/>
      <c r="O71" s="325"/>
      <c r="P71" s="189"/>
      <c r="Q71" s="330">
        <v>-0.11130180869683316</v>
      </c>
      <c r="R71" s="299">
        <f t="shared" ref="R71:R95" si="18">(Q71*J71)-(O71*J71)</f>
        <v>0</v>
      </c>
      <c r="S71" s="189">
        <f t="shared" ref="S71:S95" si="19">IFERROR(Q71*K71,"")</f>
        <v>0</v>
      </c>
      <c r="T71" s="325"/>
      <c r="U71" s="189"/>
      <c r="V71" s="330">
        <v>-1.0765154853416347E-2</v>
      </c>
      <c r="W71" s="233" t="str">
        <f t="shared" ref="W71:W95" si="20">IF(J71="","",V71*J71)</f>
        <v/>
      </c>
      <c r="X71" s="299" t="str">
        <f t="shared" ref="X71:X95" si="21">IFERROR(W71-U71,"")</f>
        <v/>
      </c>
      <c r="Y71" s="325"/>
      <c r="Z71" s="189"/>
      <c r="AA71" s="330">
        <v>-2.999533488589075E-3</v>
      </c>
      <c r="AB71" s="190"/>
    </row>
    <row r="72" spans="3:28" ht="12" customHeight="1">
      <c r="C72" s="180" t="s">
        <v>240</v>
      </c>
      <c r="D72" s="181" t="s">
        <v>241</v>
      </c>
      <c r="E72" s="182"/>
      <c r="F72" s="183"/>
      <c r="G72" s="184" t="str">
        <f t="shared" si="14"/>
        <v/>
      </c>
      <c r="H72" s="184" t="str">
        <f t="shared" si="15"/>
        <v/>
      </c>
      <c r="I72" s="185" t="str">
        <f t="shared" si="16"/>
        <v/>
      </c>
      <c r="J72" s="186"/>
      <c r="K72" s="187">
        <f t="shared" si="17"/>
        <v>0</v>
      </c>
      <c r="L72" s="188">
        <v>800000</v>
      </c>
      <c r="M72" s="337"/>
      <c r="N72" s="189"/>
      <c r="O72" s="325"/>
      <c r="P72" s="189"/>
      <c r="Q72" s="330">
        <v>-0.1218510976861279</v>
      </c>
      <c r="R72" s="299">
        <f t="shared" si="18"/>
        <v>0</v>
      </c>
      <c r="S72" s="189">
        <f t="shared" si="19"/>
        <v>0</v>
      </c>
      <c r="T72" s="325"/>
      <c r="U72" s="189"/>
      <c r="V72" s="330">
        <v>-1.4702148122314847E-2</v>
      </c>
      <c r="W72" s="233" t="str">
        <f t="shared" si="20"/>
        <v/>
      </c>
      <c r="X72" s="299" t="str">
        <f t="shared" si="21"/>
        <v/>
      </c>
      <c r="Y72" s="325"/>
      <c r="Z72" s="189"/>
      <c r="AA72" s="330">
        <v>-2.9987462515671855E-3</v>
      </c>
      <c r="AB72" s="190"/>
    </row>
    <row r="73" spans="3:28" ht="12" customHeight="1">
      <c r="C73" s="180" t="s">
        <v>242</v>
      </c>
      <c r="D73" s="181" t="s">
        <v>243</v>
      </c>
      <c r="E73" s="182"/>
      <c r="F73" s="183"/>
      <c r="G73" s="184" t="str">
        <f t="shared" si="14"/>
        <v/>
      </c>
      <c r="H73" s="184" t="str">
        <f t="shared" si="15"/>
        <v/>
      </c>
      <c r="I73" s="185" t="str">
        <f t="shared" si="16"/>
        <v/>
      </c>
      <c r="J73" s="186"/>
      <c r="K73" s="187">
        <f t="shared" si="17"/>
        <v>0</v>
      </c>
      <c r="L73" s="188">
        <v>1050000</v>
      </c>
      <c r="M73" s="337"/>
      <c r="N73" s="189"/>
      <c r="O73" s="325"/>
      <c r="P73" s="189"/>
      <c r="Q73" s="330">
        <v>-0.10803989710485989</v>
      </c>
      <c r="R73" s="299">
        <f t="shared" si="18"/>
        <v>0</v>
      </c>
      <c r="S73" s="189">
        <f t="shared" si="19"/>
        <v>0</v>
      </c>
      <c r="T73" s="325"/>
      <c r="U73" s="189"/>
      <c r="V73" s="330">
        <v>-1.5117558268992125E-2</v>
      </c>
      <c r="W73" s="233" t="str">
        <f t="shared" si="20"/>
        <v/>
      </c>
      <c r="X73" s="299" t="str">
        <f t="shared" si="21"/>
        <v/>
      </c>
      <c r="Y73" s="325"/>
      <c r="Z73" s="189"/>
      <c r="AA73" s="330">
        <v>-2.9990447628145114E-3</v>
      </c>
      <c r="AB73" s="190"/>
    </row>
    <row r="74" spans="3:28" ht="12" customHeight="1">
      <c r="C74" s="180" t="s">
        <v>244</v>
      </c>
      <c r="D74" s="181" t="s">
        <v>245</v>
      </c>
      <c r="E74" s="182"/>
      <c r="F74" s="183"/>
      <c r="G74" s="184" t="str">
        <f t="shared" si="14"/>
        <v/>
      </c>
      <c r="H74" s="184" t="str">
        <f t="shared" si="15"/>
        <v/>
      </c>
      <c r="I74" s="185" t="str">
        <f t="shared" si="16"/>
        <v/>
      </c>
      <c r="J74" s="186"/>
      <c r="K74" s="187">
        <f t="shared" si="17"/>
        <v>0</v>
      </c>
      <c r="L74" s="188">
        <v>450000</v>
      </c>
      <c r="M74" s="337"/>
      <c r="N74" s="189"/>
      <c r="O74" s="325"/>
      <c r="P74" s="189"/>
      <c r="Q74" s="330">
        <v>-0.17969960066755408</v>
      </c>
      <c r="R74" s="299">
        <f t="shared" si="18"/>
        <v>0</v>
      </c>
      <c r="S74" s="189">
        <f t="shared" si="19"/>
        <v>0</v>
      </c>
      <c r="T74" s="325"/>
      <c r="U74" s="189"/>
      <c r="V74" s="330">
        <v>-1.9590801353774768E-2</v>
      </c>
      <c r="W74" s="233" t="str">
        <f t="shared" si="20"/>
        <v/>
      </c>
      <c r="X74" s="299" t="str">
        <f t="shared" si="21"/>
        <v/>
      </c>
      <c r="Y74" s="325"/>
      <c r="Z74" s="189"/>
      <c r="AA74" s="330">
        <v>-2.9977711160641867E-3</v>
      </c>
      <c r="AB74" s="190"/>
    </row>
    <row r="75" spans="3:28" ht="12" customHeight="1">
      <c r="C75" s="180" t="s">
        <v>121</v>
      </c>
      <c r="D75" s="181" t="s">
        <v>122</v>
      </c>
      <c r="E75" s="182"/>
      <c r="F75" s="183"/>
      <c r="G75" s="184">
        <f t="shared" si="14"/>
        <v>42139</v>
      </c>
      <c r="H75" s="184">
        <f t="shared" si="15"/>
        <v>-6.8079715250461692E-3</v>
      </c>
      <c r="I75" s="185">
        <f t="shared" si="16"/>
        <v>-1.5042464964822234E-2</v>
      </c>
      <c r="J75" s="186">
        <v>892139</v>
      </c>
      <c r="K75" s="187">
        <f t="shared" si="17"/>
        <v>850000</v>
      </c>
      <c r="L75" s="188">
        <v>850000</v>
      </c>
      <c r="M75" s="337">
        <v>0.16371458227314609</v>
      </c>
      <c r="N75" s="189">
        <v>146057</v>
      </c>
      <c r="O75" s="325">
        <v>-0.12483606796257977</v>
      </c>
      <c r="P75" s="189">
        <v>-111370</v>
      </c>
      <c r="Q75" s="330">
        <v>-0.11802809643753361</v>
      </c>
      <c r="R75" s="299">
        <f t="shared" si="18"/>
        <v>6073.656908383171</v>
      </c>
      <c r="S75" s="189">
        <f t="shared" si="19"/>
        <v>-100323.88197190357</v>
      </c>
      <c r="T75" s="325">
        <v>-2.9727463688353148E-2</v>
      </c>
      <c r="U75" s="189">
        <v>-26520</v>
      </c>
      <c r="V75" s="330">
        <v>-1.4684998723530913E-2</v>
      </c>
      <c r="W75" s="233">
        <f t="shared" si="20"/>
        <v>-13101.060076212145</v>
      </c>
      <c r="X75" s="299">
        <f t="shared" si="21"/>
        <v>13418.939923787855</v>
      </c>
      <c r="Y75" s="325">
        <v>-1.0565629981011905E-2</v>
      </c>
      <c r="Z75" s="189">
        <v>-9425</v>
      </c>
      <c r="AA75" s="330">
        <v>-2.9988200013882338E-3</v>
      </c>
      <c r="AB75" s="190" t="s">
        <v>263</v>
      </c>
    </row>
    <row r="76" spans="3:28" ht="12" customHeight="1">
      <c r="C76" s="180" t="s">
        <v>246</v>
      </c>
      <c r="D76" s="181" t="s">
        <v>247</v>
      </c>
      <c r="E76" s="182"/>
      <c r="F76" s="183"/>
      <c r="G76" s="184" t="str">
        <f t="shared" si="14"/>
        <v/>
      </c>
      <c r="H76" s="184" t="str">
        <f t="shared" si="15"/>
        <v/>
      </c>
      <c r="I76" s="185" t="str">
        <f t="shared" si="16"/>
        <v/>
      </c>
      <c r="J76" s="186"/>
      <c r="K76" s="187">
        <f t="shared" si="17"/>
        <v>0</v>
      </c>
      <c r="L76" s="188">
        <v>1400000</v>
      </c>
      <c r="M76" s="337"/>
      <c r="N76" s="189"/>
      <c r="O76" s="325"/>
      <c r="P76" s="189"/>
      <c r="Q76" s="330">
        <v>7.1428520408199712E-7</v>
      </c>
      <c r="R76" s="299">
        <f t="shared" si="18"/>
        <v>0</v>
      </c>
      <c r="S76" s="189">
        <f t="shared" si="19"/>
        <v>0</v>
      </c>
      <c r="T76" s="325"/>
      <c r="U76" s="189"/>
      <c r="V76" s="330"/>
      <c r="W76" s="233" t="str">
        <f t="shared" si="20"/>
        <v/>
      </c>
      <c r="X76" s="299" t="str">
        <f t="shared" si="21"/>
        <v/>
      </c>
      <c r="Y76" s="325"/>
      <c r="Z76" s="189"/>
      <c r="AA76" s="330">
        <v>-2.9992835719403056E-3</v>
      </c>
      <c r="AB76" s="190"/>
    </row>
    <row r="77" spans="3:28" ht="12" customHeight="1">
      <c r="C77" s="180" t="s">
        <v>248</v>
      </c>
      <c r="D77" s="181" t="s">
        <v>249</v>
      </c>
      <c r="E77" s="182"/>
      <c r="F77" s="183"/>
      <c r="G77" s="184" t="str">
        <f t="shared" si="14"/>
        <v/>
      </c>
      <c r="H77" s="184" t="str">
        <f t="shared" si="15"/>
        <v/>
      </c>
      <c r="I77" s="185" t="str">
        <f t="shared" si="16"/>
        <v/>
      </c>
      <c r="J77" s="186"/>
      <c r="K77" s="187">
        <f t="shared" si="17"/>
        <v>0</v>
      </c>
      <c r="L77" s="188">
        <v>1060000</v>
      </c>
      <c r="M77" s="337"/>
      <c r="N77" s="189"/>
      <c r="O77" s="325"/>
      <c r="P77" s="189"/>
      <c r="Q77" s="330">
        <v>-0.10575744739863453</v>
      </c>
      <c r="R77" s="299">
        <f t="shared" si="18"/>
        <v>0</v>
      </c>
      <c r="S77" s="189">
        <f t="shared" si="19"/>
        <v>0</v>
      </c>
      <c r="T77" s="325"/>
      <c r="U77" s="189"/>
      <c r="V77" s="330">
        <v>-1.4932744403071317E-2</v>
      </c>
      <c r="W77" s="233" t="str">
        <f t="shared" si="20"/>
        <v/>
      </c>
      <c r="X77" s="299" t="str">
        <f t="shared" si="21"/>
        <v/>
      </c>
      <c r="Y77" s="325"/>
      <c r="Z77" s="189"/>
      <c r="AA77" s="330">
        <v>-2.9990537744775713E-3</v>
      </c>
      <c r="AB77" s="190"/>
    </row>
    <row r="78" spans="3:28" ht="12" customHeight="1">
      <c r="C78" s="180" t="s">
        <v>123</v>
      </c>
      <c r="D78" s="181" t="s">
        <v>124</v>
      </c>
      <c r="E78" s="182"/>
      <c r="F78" s="183"/>
      <c r="G78" s="184">
        <f t="shared" si="14"/>
        <v>-36597</v>
      </c>
      <c r="H78" s="184">
        <f t="shared" si="15"/>
        <v>1.3831350490382394E-3</v>
      </c>
      <c r="I78" s="185">
        <f t="shared" si="16"/>
        <v>-1.3061721470637307E-2</v>
      </c>
      <c r="J78" s="186">
        <v>563403</v>
      </c>
      <c r="K78" s="187">
        <f t="shared" si="17"/>
        <v>600000</v>
      </c>
      <c r="L78" s="188">
        <v>600000</v>
      </c>
      <c r="M78" s="337">
        <v>0.2571290126765613</v>
      </c>
      <c r="N78" s="189">
        <v>144868</v>
      </c>
      <c r="O78" s="325">
        <v>-0.10517002069570218</v>
      </c>
      <c r="P78" s="189">
        <v>-59252</v>
      </c>
      <c r="Q78" s="330">
        <v>-0.10655315574474042</v>
      </c>
      <c r="R78" s="299">
        <f t="shared" si="18"/>
        <v>-779.26243603329203</v>
      </c>
      <c r="S78" s="189">
        <f t="shared" si="19"/>
        <v>-63931.893446844253</v>
      </c>
      <c r="T78" s="325">
        <v>-1.3061721470637307E-2</v>
      </c>
      <c r="U78" s="189">
        <v>-7358</v>
      </c>
      <c r="V78" s="330"/>
      <c r="W78" s="233">
        <f t="shared" si="20"/>
        <v>0</v>
      </c>
      <c r="X78" s="299">
        <f t="shared" si="21"/>
        <v>7358</v>
      </c>
      <c r="Y78" s="325">
        <v>-3.1434038217826705E-3</v>
      </c>
      <c r="Z78" s="189">
        <v>-1770</v>
      </c>
      <c r="AA78" s="330"/>
      <c r="AB78" s="190" t="s">
        <v>164</v>
      </c>
    </row>
    <row r="79" spans="3:28" ht="12" customHeight="1">
      <c r="C79" s="180" t="s">
        <v>250</v>
      </c>
      <c r="D79" s="181" t="s">
        <v>251</v>
      </c>
      <c r="E79" s="182"/>
      <c r="F79" s="183"/>
      <c r="G79" s="184">
        <f t="shared" si="14"/>
        <v>-836723.93060000008</v>
      </c>
      <c r="H79" s="184">
        <f t="shared" si="15"/>
        <v>-1.4936485074587585E-2</v>
      </c>
      <c r="I79" s="185">
        <f t="shared" si="16"/>
        <v>7.849659083482596E-3</v>
      </c>
      <c r="J79" s="186">
        <v>2148814</v>
      </c>
      <c r="K79" s="187">
        <f t="shared" si="17"/>
        <v>2985537.9306000001</v>
      </c>
      <c r="L79" s="188">
        <v>2985537.9306000001</v>
      </c>
      <c r="M79" s="337">
        <v>0.19232245895757333</v>
      </c>
      <c r="N79" s="189">
        <v>413266</v>
      </c>
      <c r="O79" s="325">
        <v>-0.1132239054771169</v>
      </c>
      <c r="P79" s="189">
        <v>-243296</v>
      </c>
      <c r="Q79" s="330">
        <v>-9.8287420402529316E-2</v>
      </c>
      <c r="R79" s="299">
        <f t="shared" si="18"/>
        <v>32095.728239064832</v>
      </c>
      <c r="S79" s="189">
        <f t="shared" si="19"/>
        <v>-293440.82171257958</v>
      </c>
      <c r="T79" s="325">
        <v>-1.2561353640358654E-2</v>
      </c>
      <c r="U79" s="189">
        <v>-26991</v>
      </c>
      <c r="V79" s="330">
        <v>-2.041101272384125E-2</v>
      </c>
      <c r="W79" s="233">
        <f t="shared" si="20"/>
        <v>-43859.469895168215</v>
      </c>
      <c r="X79" s="299">
        <f t="shared" si="21"/>
        <v>-16868.469895168215</v>
      </c>
      <c r="Y79" s="325">
        <v>-4.6588511890052788E-3</v>
      </c>
      <c r="Z79" s="189">
        <v>-10010</v>
      </c>
      <c r="AA79" s="330">
        <v>-2.9996640500012505E-3</v>
      </c>
      <c r="AB79" s="190" t="s">
        <v>264</v>
      </c>
    </row>
    <row r="80" spans="3:28" ht="12" customHeight="1">
      <c r="C80" s="180" t="s">
        <v>147</v>
      </c>
      <c r="D80" s="181" t="s">
        <v>148</v>
      </c>
      <c r="E80" s="182"/>
      <c r="F80" s="183"/>
      <c r="G80" s="184" t="str">
        <f t="shared" si="14"/>
        <v/>
      </c>
      <c r="H80" s="184" t="str">
        <f t="shared" si="15"/>
        <v/>
      </c>
      <c r="I80" s="185" t="str">
        <f t="shared" si="16"/>
        <v/>
      </c>
      <c r="J80" s="186"/>
      <c r="K80" s="187">
        <f t="shared" si="17"/>
        <v>0</v>
      </c>
      <c r="L80" s="188">
        <v>500000</v>
      </c>
      <c r="M80" s="337"/>
      <c r="N80" s="189"/>
      <c r="O80" s="325"/>
      <c r="P80" s="189"/>
      <c r="Q80" s="330">
        <v>-0.16172917654164692</v>
      </c>
      <c r="R80" s="299">
        <f t="shared" si="18"/>
        <v>0</v>
      </c>
      <c r="S80" s="189">
        <f t="shared" si="19"/>
        <v>0</v>
      </c>
      <c r="T80" s="325"/>
      <c r="U80" s="189"/>
      <c r="V80" s="330">
        <v>-2.1997956004087993E-2</v>
      </c>
      <c r="W80" s="233" t="str">
        <f t="shared" si="20"/>
        <v/>
      </c>
      <c r="X80" s="299" t="str">
        <f t="shared" si="21"/>
        <v/>
      </c>
      <c r="Y80" s="325"/>
      <c r="Z80" s="189"/>
      <c r="AA80" s="330">
        <v>-2.997994004011992E-3</v>
      </c>
      <c r="AB80" s="190"/>
    </row>
    <row r="81" spans="3:28" ht="12" customHeight="1">
      <c r="C81" s="180" t="s">
        <v>252</v>
      </c>
      <c r="D81" s="181" t="s">
        <v>253</v>
      </c>
      <c r="E81" s="182"/>
      <c r="F81" s="183"/>
      <c r="G81" s="184" t="str">
        <f t="shared" si="14"/>
        <v/>
      </c>
      <c r="H81" s="184" t="str">
        <f t="shared" si="15"/>
        <v/>
      </c>
      <c r="I81" s="185" t="str">
        <f t="shared" si="16"/>
        <v/>
      </c>
      <c r="J81" s="186"/>
      <c r="K81" s="187">
        <f t="shared" si="17"/>
        <v>0</v>
      </c>
      <c r="L81" s="188">
        <v>1200000</v>
      </c>
      <c r="M81" s="337"/>
      <c r="N81" s="189"/>
      <c r="O81" s="325"/>
      <c r="P81" s="189"/>
      <c r="Q81" s="330">
        <v>8.3333263888946755E-7</v>
      </c>
      <c r="R81" s="299">
        <f t="shared" si="18"/>
        <v>0</v>
      </c>
      <c r="S81" s="189">
        <f t="shared" si="19"/>
        <v>0</v>
      </c>
      <c r="T81" s="325"/>
      <c r="U81" s="189"/>
      <c r="V81" s="330">
        <v>8.3333263888946755E-7</v>
      </c>
      <c r="W81" s="233" t="str">
        <f t="shared" si="20"/>
        <v/>
      </c>
      <c r="X81" s="299" t="str">
        <f t="shared" si="21"/>
        <v/>
      </c>
      <c r="Y81" s="325"/>
      <c r="Z81" s="189"/>
      <c r="AA81" s="330">
        <v>-2.999164167363194E-3</v>
      </c>
      <c r="AB81" s="190"/>
    </row>
    <row r="82" spans="3:28" ht="12" customHeight="1">
      <c r="C82" s="180" t="s">
        <v>103</v>
      </c>
      <c r="D82" s="181" t="s">
        <v>104</v>
      </c>
      <c r="E82" s="182"/>
      <c r="F82" s="183"/>
      <c r="G82" s="184">
        <f t="shared" si="14"/>
        <v>-147059</v>
      </c>
      <c r="H82" s="184">
        <f t="shared" si="15"/>
        <v>-9.5555718501484227E-3</v>
      </c>
      <c r="I82" s="185">
        <f t="shared" si="16"/>
        <v>-8.8097908325199606E-4</v>
      </c>
      <c r="J82" s="186">
        <v>1452941</v>
      </c>
      <c r="K82" s="187">
        <f t="shared" si="17"/>
        <v>1600000</v>
      </c>
      <c r="L82" s="188">
        <v>1600000</v>
      </c>
      <c r="M82" s="337">
        <v>0.2037283026140102</v>
      </c>
      <c r="N82" s="189">
        <v>296006</v>
      </c>
      <c r="O82" s="325">
        <v>-0.1099742590884689</v>
      </c>
      <c r="P82" s="189">
        <v>-159785</v>
      </c>
      <c r="Q82" s="330">
        <v>-0.10041868723832048</v>
      </c>
      <c r="R82" s="299">
        <f t="shared" si="18"/>
        <v>13883.682119526493</v>
      </c>
      <c r="S82" s="189">
        <f t="shared" si="19"/>
        <v>-160669.89958131278</v>
      </c>
      <c r="T82" s="325">
        <v>-1.6901592632868528E-2</v>
      </c>
      <c r="U82" s="189">
        <v>-24556</v>
      </c>
      <c r="V82" s="330">
        <v>-1.6020613549616532E-2</v>
      </c>
      <c r="W82" s="233">
        <f t="shared" si="20"/>
        <v>-23277.006271393395</v>
      </c>
      <c r="X82" s="299">
        <f t="shared" si="21"/>
        <v>1278.9937286066051</v>
      </c>
      <c r="Y82" s="325">
        <v>-7.2239734607072561E-3</v>
      </c>
      <c r="Z82" s="189">
        <v>-10495</v>
      </c>
      <c r="AA82" s="330">
        <v>-2.9993731253917968E-3</v>
      </c>
      <c r="AB82" s="190" t="s">
        <v>265</v>
      </c>
    </row>
    <row r="83" spans="3:28" ht="12" customHeight="1">
      <c r="C83" s="180" t="s">
        <v>135</v>
      </c>
      <c r="D83" s="181" t="s">
        <v>136</v>
      </c>
      <c r="E83" s="182"/>
      <c r="F83" s="183"/>
      <c r="G83" s="184">
        <f t="shared" si="14"/>
        <v>48538</v>
      </c>
      <c r="H83" s="184">
        <f t="shared" si="15"/>
        <v>-6.7320876207752345E-3</v>
      </c>
      <c r="I83" s="185">
        <f t="shared" si="16"/>
        <v>-2.0140084637652222E-2</v>
      </c>
      <c r="J83" s="186">
        <v>768538</v>
      </c>
      <c r="K83" s="187">
        <f t="shared" si="17"/>
        <v>720000</v>
      </c>
      <c r="L83" s="188">
        <v>720000</v>
      </c>
      <c r="M83" s="337">
        <v>0.2071064893427382</v>
      </c>
      <c r="N83" s="189">
        <v>159170</v>
      </c>
      <c r="O83" s="325">
        <v>-0.16037354089653458</v>
      </c>
      <c r="P83" s="189">
        <v>-123252</v>
      </c>
      <c r="Q83" s="330">
        <v>-0.15364145327575934</v>
      </c>
      <c r="R83" s="299">
        <f t="shared" si="18"/>
        <v>5173.865155895357</v>
      </c>
      <c r="S83" s="189">
        <f t="shared" si="19"/>
        <v>-110621.84635854673</v>
      </c>
      <c r="T83" s="325">
        <v>-4.1880872358780387E-2</v>
      </c>
      <c r="U83" s="189">
        <v>-32186</v>
      </c>
      <c r="V83" s="330">
        <v>-2.1740787721128165E-2</v>
      </c>
      <c r="W83" s="233">
        <f t="shared" si="20"/>
        <v>-16708.621513620397</v>
      </c>
      <c r="X83" s="299">
        <f t="shared" si="21"/>
        <v>15477.378486379603</v>
      </c>
      <c r="Y83" s="325">
        <v>-9.7275732983577896E-3</v>
      </c>
      <c r="Z83" s="189">
        <v>-7475</v>
      </c>
      <c r="AA83" s="330">
        <v>-2.998606946379241E-3</v>
      </c>
      <c r="AB83" s="190" t="s">
        <v>266</v>
      </c>
    </row>
    <row r="84" spans="3:28" ht="12" customHeight="1">
      <c r="C84" s="180" t="s">
        <v>145</v>
      </c>
      <c r="D84" s="181" t="s">
        <v>146</v>
      </c>
      <c r="E84" s="182"/>
      <c r="F84" s="183"/>
      <c r="G84" s="184">
        <f t="shared" si="14"/>
        <v>-10383</v>
      </c>
      <c r="H84" s="184">
        <f t="shared" si="15"/>
        <v>-5.4812787248571804E-3</v>
      </c>
      <c r="I84" s="185">
        <f t="shared" si="16"/>
        <v>-3.7442772875967041E-3</v>
      </c>
      <c r="J84" s="186">
        <v>877617</v>
      </c>
      <c r="K84" s="187">
        <f t="shared" si="17"/>
        <v>888000</v>
      </c>
      <c r="L84" s="188">
        <v>888000</v>
      </c>
      <c r="M84" s="337">
        <v>0.15789137846165066</v>
      </c>
      <c r="N84" s="189">
        <v>138569</v>
      </c>
      <c r="O84" s="325">
        <v>-0.14139441395781299</v>
      </c>
      <c r="P84" s="189">
        <v>-124089</v>
      </c>
      <c r="Q84" s="330">
        <v>-0.13591313523295581</v>
      </c>
      <c r="R84" s="299">
        <f t="shared" si="18"/>
        <v>4810.4633906729869</v>
      </c>
      <c r="S84" s="189">
        <f t="shared" si="19"/>
        <v>-120690.86408686476</v>
      </c>
      <c r="T84" s="325">
        <v>-2.5470137280997611E-2</v>
      </c>
      <c r="U84" s="189">
        <v>-22352</v>
      </c>
      <c r="V84" s="330">
        <v>-2.1725859993400907E-2</v>
      </c>
      <c r="W84" s="233">
        <f t="shared" si="20"/>
        <v>-19066.984069828522</v>
      </c>
      <c r="X84" s="299">
        <f t="shared" si="21"/>
        <v>3285.0159301714775</v>
      </c>
      <c r="Y84" s="325">
        <v>-1.0229986691218027E-2</v>
      </c>
      <c r="Z84" s="189">
        <v>-8977</v>
      </c>
      <c r="AA84" s="330">
        <v>-2.9988704967674586E-3</v>
      </c>
      <c r="AB84" s="190" t="s">
        <v>164</v>
      </c>
    </row>
    <row r="85" spans="3:28" ht="12" customHeight="1">
      <c r="C85" s="180" t="s">
        <v>143</v>
      </c>
      <c r="D85" s="181" t="s">
        <v>144</v>
      </c>
      <c r="E85" s="182"/>
      <c r="F85" s="183"/>
      <c r="G85" s="184">
        <f t="shared" si="14"/>
        <v>-244884.49619999994</v>
      </c>
      <c r="H85" s="184">
        <f t="shared" si="15"/>
        <v>-2.1398579915549415E-2</v>
      </c>
      <c r="I85" s="185">
        <f t="shared" si="16"/>
        <v>-9.3465499004074248E-3</v>
      </c>
      <c r="J85" s="186">
        <v>1237625</v>
      </c>
      <c r="K85" s="187">
        <f t="shared" si="17"/>
        <v>1482509.4961999999</v>
      </c>
      <c r="L85" s="188">
        <v>1482509.4961999999</v>
      </c>
      <c r="M85" s="337">
        <v>0.21577151057186997</v>
      </c>
      <c r="N85" s="189">
        <v>267045</v>
      </c>
      <c r="O85" s="325">
        <v>-0.11430854605275916</v>
      </c>
      <c r="P85" s="189">
        <v>-141470</v>
      </c>
      <c r="Q85" s="330">
        <v>-9.290996613720974E-2</v>
      </c>
      <c r="R85" s="299">
        <f t="shared" si="18"/>
        <v>26483.417467981824</v>
      </c>
      <c r="S85" s="189">
        <f t="shared" si="19"/>
        <v>-137739.90709003387</v>
      </c>
      <c r="T85" s="325">
        <v>-2.6128290983368132E-2</v>
      </c>
      <c r="U85" s="189">
        <v>-32336</v>
      </c>
      <c r="V85" s="330">
        <v>-1.6781741082960707E-2</v>
      </c>
      <c r="W85" s="233">
        <f t="shared" si="20"/>
        <v>-20769.502307799245</v>
      </c>
      <c r="X85" s="299">
        <f t="shared" si="21"/>
        <v>11566.497692200755</v>
      </c>
      <c r="Y85" s="325">
        <v>-3.47682333244992E-3</v>
      </c>
      <c r="Z85" s="189">
        <v>-4302</v>
      </c>
      <c r="AA85" s="330">
        <v>-2.9993234526146219E-3</v>
      </c>
      <c r="AB85" s="190" t="s">
        <v>267</v>
      </c>
    </row>
    <row r="86" spans="3:28" ht="12" customHeight="1">
      <c r="C86" s="180" t="s">
        <v>159</v>
      </c>
      <c r="D86" s="181" t="s">
        <v>160</v>
      </c>
      <c r="E86" s="182"/>
      <c r="F86" s="183"/>
      <c r="G86" s="184">
        <f t="shared" si="14"/>
        <v>-217161</v>
      </c>
      <c r="H86" s="184">
        <f t="shared" si="15"/>
        <v>-2.8084480957984714E-3</v>
      </c>
      <c r="I86" s="185">
        <f t="shared" si="16"/>
        <v>-6.8345511623611639E-3</v>
      </c>
      <c r="J86" s="186">
        <v>1082839</v>
      </c>
      <c r="K86" s="187">
        <f t="shared" si="17"/>
        <v>1300000</v>
      </c>
      <c r="L86" s="188">
        <v>1300000</v>
      </c>
      <c r="M86" s="337">
        <v>0.18427779593992821</v>
      </c>
      <c r="N86" s="189">
        <v>199544</v>
      </c>
      <c r="O86" s="325">
        <v>-0.1054506768325456</v>
      </c>
      <c r="P86" s="189">
        <v>-114185</v>
      </c>
      <c r="Q86" s="330">
        <v>-0.10264222873674712</v>
      </c>
      <c r="R86" s="299">
        <f t="shared" si="18"/>
        <v>3041.097127606321</v>
      </c>
      <c r="S86" s="189">
        <f t="shared" si="19"/>
        <v>-133434.89735777126</v>
      </c>
      <c r="T86" s="325">
        <v>-2.4887379275570307E-2</v>
      </c>
      <c r="U86" s="189">
        <v>-26948</v>
      </c>
      <c r="V86" s="330">
        <v>-1.8052828113209143E-2</v>
      </c>
      <c r="W86" s="233">
        <f t="shared" si="20"/>
        <v>-19548.306341279276</v>
      </c>
      <c r="X86" s="299">
        <f t="shared" si="21"/>
        <v>7399.6936587207238</v>
      </c>
      <c r="Y86" s="325">
        <v>-3.9341064868429068E-3</v>
      </c>
      <c r="Z86" s="189">
        <v>-4259</v>
      </c>
      <c r="AA86" s="330">
        <v>-2.9992284621319521E-3</v>
      </c>
      <c r="AB86" s="190" t="s">
        <v>268</v>
      </c>
    </row>
    <row r="87" spans="3:28" ht="12" customHeight="1">
      <c r="C87" s="180" t="s">
        <v>71</v>
      </c>
      <c r="D87" s="181" t="s">
        <v>72</v>
      </c>
      <c r="E87" s="182"/>
      <c r="F87" s="183"/>
      <c r="G87" s="184">
        <f t="shared" si="14"/>
        <v>80455</v>
      </c>
      <c r="H87" s="184">
        <f t="shared" si="15"/>
        <v>-4.3350102288060938E-2</v>
      </c>
      <c r="I87" s="185">
        <f t="shared" si="16"/>
        <v>-2.2046742974536227E-2</v>
      </c>
      <c r="J87" s="186">
        <v>1280455</v>
      </c>
      <c r="K87" s="187">
        <f t="shared" si="17"/>
        <v>1200000</v>
      </c>
      <c r="L87" s="188">
        <v>1200000</v>
      </c>
      <c r="M87" s="337">
        <v>0.19881620112866219</v>
      </c>
      <c r="N87" s="189">
        <v>254576</v>
      </c>
      <c r="O87" s="325">
        <v>-0.16769833199786952</v>
      </c>
      <c r="P87" s="189">
        <v>-214729</v>
      </c>
      <c r="Q87" s="330">
        <v>-0.12434822970980858</v>
      </c>
      <c r="R87" s="299">
        <f t="shared" si="18"/>
        <v>55507.855225259089</v>
      </c>
      <c r="S87" s="189">
        <f t="shared" si="19"/>
        <v>-149217.8756517703</v>
      </c>
      <c r="T87" s="325">
        <v>-3.7931077570924066E-2</v>
      </c>
      <c r="U87" s="189">
        <v>-48568</v>
      </c>
      <c r="V87" s="330">
        <v>-1.5884334596387838E-2</v>
      </c>
      <c r="W87" s="233">
        <f t="shared" si="20"/>
        <v>-20339.17565561779</v>
      </c>
      <c r="X87" s="299">
        <f t="shared" si="21"/>
        <v>28228.82434438221</v>
      </c>
      <c r="Y87" s="325">
        <v>-5.54490829034077E-3</v>
      </c>
      <c r="Z87" s="189">
        <v>-7099</v>
      </c>
      <c r="AA87" s="330">
        <v>-2.999164167363194E-3</v>
      </c>
      <c r="AB87" s="190" t="s">
        <v>269</v>
      </c>
    </row>
    <row r="88" spans="3:28" ht="12" customHeight="1">
      <c r="C88" s="180" t="s">
        <v>111</v>
      </c>
      <c r="D88" s="181" t="s">
        <v>112</v>
      </c>
      <c r="E88" s="182"/>
      <c r="F88" s="183"/>
      <c r="G88" s="184">
        <f t="shared" si="14"/>
        <v>-141693</v>
      </c>
      <c r="H88" s="184">
        <f t="shared" si="15"/>
        <v>-9.9533932402022796E-3</v>
      </c>
      <c r="I88" s="185">
        <f t="shared" si="16"/>
        <v>-3.5626837827499556E-3</v>
      </c>
      <c r="J88" s="186">
        <v>1108307</v>
      </c>
      <c r="K88" s="187">
        <f t="shared" si="17"/>
        <v>1250000</v>
      </c>
      <c r="L88" s="188">
        <v>1250000</v>
      </c>
      <c r="M88" s="337">
        <v>0.2301340965401252</v>
      </c>
      <c r="N88" s="189">
        <v>255060</v>
      </c>
      <c r="O88" s="325">
        <v>-0.12283250293691453</v>
      </c>
      <c r="P88" s="189">
        <v>-136135</v>
      </c>
      <c r="Q88" s="330">
        <v>-0.11287910969671225</v>
      </c>
      <c r="R88" s="299">
        <f t="shared" si="18"/>
        <v>11031.415401868871</v>
      </c>
      <c r="S88" s="189">
        <f t="shared" si="19"/>
        <v>-141098.88712089031</v>
      </c>
      <c r="T88" s="325">
        <v>-1.8604067829642718E-2</v>
      </c>
      <c r="U88" s="189">
        <v>-20618</v>
      </c>
      <c r="V88" s="330">
        <v>-1.5041384046892762E-2</v>
      </c>
      <c r="W88" s="233">
        <f t="shared" si="20"/>
        <v>-16670.471228859577</v>
      </c>
      <c r="X88" s="299">
        <f t="shared" si="21"/>
        <v>3947.5287711404235</v>
      </c>
      <c r="Y88" s="325">
        <v>-2.4893847006151729E-3</v>
      </c>
      <c r="Z88" s="189">
        <v>-2758</v>
      </c>
      <c r="AA88" s="330">
        <v>-2.9991976006419193E-3</v>
      </c>
      <c r="AB88" s="190" t="s">
        <v>270</v>
      </c>
    </row>
    <row r="89" spans="3:28" ht="12" customHeight="1">
      <c r="C89" s="180" t="s">
        <v>115</v>
      </c>
      <c r="D89" s="181" t="s">
        <v>116</v>
      </c>
      <c r="E89" s="182"/>
      <c r="F89" s="183"/>
      <c r="G89" s="184">
        <f t="shared" si="14"/>
        <v>31114</v>
      </c>
      <c r="H89" s="184">
        <f t="shared" si="15"/>
        <v>-6.1582727420631533E-3</v>
      </c>
      <c r="I89" s="185">
        <f t="shared" si="16"/>
        <v>-7.4521184408084216E-3</v>
      </c>
      <c r="J89" s="186">
        <v>831114</v>
      </c>
      <c r="K89" s="187">
        <f t="shared" si="17"/>
        <v>800000</v>
      </c>
      <c r="L89" s="188">
        <v>800000</v>
      </c>
      <c r="M89" s="337">
        <v>0.20960447015026837</v>
      </c>
      <c r="N89" s="189">
        <v>174206</v>
      </c>
      <c r="O89" s="325">
        <v>-0.15847183235011364</v>
      </c>
      <c r="P89" s="189">
        <v>-131707</v>
      </c>
      <c r="Q89" s="330">
        <v>-0.15231355960805049</v>
      </c>
      <c r="R89" s="299">
        <f t="shared" si="18"/>
        <v>5118.2266917470697</v>
      </c>
      <c r="S89" s="189">
        <f t="shared" si="19"/>
        <v>-121850.84768644039</v>
      </c>
      <c r="T89" s="325">
        <v>-2.6658228183171241E-2</v>
      </c>
      <c r="U89" s="189">
        <v>-22155</v>
      </c>
      <c r="V89" s="330">
        <v>-1.920610974236282E-2</v>
      </c>
      <c r="W89" s="233">
        <f t="shared" si="20"/>
        <v>-15962.466692414133</v>
      </c>
      <c r="X89" s="299">
        <f t="shared" si="21"/>
        <v>6192.5333075858671</v>
      </c>
      <c r="Y89" s="325">
        <v>-4.9439727209176125E-3</v>
      </c>
      <c r="Z89" s="189">
        <v>-4108</v>
      </c>
      <c r="AA89" s="330">
        <v>-2.9987462515671855E-3</v>
      </c>
      <c r="AB89" s="190" t="s">
        <v>271</v>
      </c>
    </row>
    <row r="90" spans="3:28" ht="12" customHeight="1">
      <c r="C90" s="180" t="s">
        <v>117</v>
      </c>
      <c r="D90" s="181" t="s">
        <v>118</v>
      </c>
      <c r="E90" s="182"/>
      <c r="F90" s="183"/>
      <c r="G90" s="184">
        <f t="shared" si="14"/>
        <v>-102663</v>
      </c>
      <c r="H90" s="184">
        <f t="shared" si="15"/>
        <v>-2.725370332213449E-2</v>
      </c>
      <c r="I90" s="185">
        <f t="shared" si="16"/>
        <v>-3.7245794766249743E-3</v>
      </c>
      <c r="J90" s="186">
        <v>897337</v>
      </c>
      <c r="K90" s="187">
        <f t="shared" si="17"/>
        <v>1000000</v>
      </c>
      <c r="L90" s="188">
        <v>1000000</v>
      </c>
      <c r="M90" s="337">
        <v>0.17000766713917639</v>
      </c>
      <c r="N90" s="189">
        <v>152555</v>
      </c>
      <c r="O90" s="325">
        <v>-0.14794458263125518</v>
      </c>
      <c r="P90" s="189">
        <v>-132755</v>
      </c>
      <c r="Q90" s="330">
        <v>-0.12069087930912069</v>
      </c>
      <c r="R90" s="299">
        <f t="shared" si="18"/>
        <v>24455.75637797419</v>
      </c>
      <c r="S90" s="189">
        <f t="shared" si="19"/>
        <v>-120690.87930912069</v>
      </c>
      <c r="T90" s="325">
        <v>-2.3674521026683427E-2</v>
      </c>
      <c r="U90" s="189">
        <v>-21243</v>
      </c>
      <c r="V90" s="330">
        <v>-1.9949941550058452E-2</v>
      </c>
      <c r="W90" s="233">
        <f t="shared" si="20"/>
        <v>-17901.8207007048</v>
      </c>
      <c r="X90" s="299">
        <f t="shared" si="21"/>
        <v>3341.1792992951996</v>
      </c>
      <c r="Y90" s="325">
        <v>-9.4368218816585983E-3</v>
      </c>
      <c r="Z90" s="189">
        <v>-8467</v>
      </c>
      <c r="AA90" s="330">
        <v>-2.9989970010029991E-3</v>
      </c>
      <c r="AB90" s="190" t="s">
        <v>272</v>
      </c>
    </row>
    <row r="91" spans="3:28" ht="12" customHeight="1">
      <c r="C91" s="180" t="s">
        <v>125</v>
      </c>
      <c r="D91" s="181" t="s">
        <v>126</v>
      </c>
      <c r="E91" s="182"/>
      <c r="F91" s="183"/>
      <c r="G91" s="184">
        <f t="shared" si="14"/>
        <v>-79778</v>
      </c>
      <c r="H91" s="184">
        <f t="shared" si="15"/>
        <v>-4.0367591312894108E-2</v>
      </c>
      <c r="I91" s="185">
        <f t="shared" si="16"/>
        <v>-0.28881066988500254</v>
      </c>
      <c r="J91" s="186">
        <v>620222</v>
      </c>
      <c r="K91" s="187">
        <f t="shared" si="17"/>
        <v>700000</v>
      </c>
      <c r="L91" s="188">
        <v>700000</v>
      </c>
      <c r="M91" s="337">
        <v>1.2292021714840355</v>
      </c>
      <c r="N91" s="189">
        <v>762378</v>
      </c>
      <c r="O91" s="325">
        <v>-0.16576026932335408</v>
      </c>
      <c r="P91" s="189">
        <v>-102807</v>
      </c>
      <c r="Q91" s="330">
        <v>-0.12539267801045997</v>
      </c>
      <c r="R91" s="299">
        <f t="shared" si="18"/>
        <v>25036.868219265816</v>
      </c>
      <c r="S91" s="189">
        <f t="shared" si="19"/>
        <v>-87774.874607321981</v>
      </c>
      <c r="T91" s="325">
        <v>-0.30908659977653125</v>
      </c>
      <c r="U91" s="189">
        <v>-191701</v>
      </c>
      <c r="V91" s="330">
        <v>-2.0275929891528727E-2</v>
      </c>
      <c r="W91" s="233">
        <f t="shared" si="20"/>
        <v>-12575.57778918373</v>
      </c>
      <c r="X91" s="299">
        <f t="shared" si="21"/>
        <v>179125.42221081626</v>
      </c>
      <c r="Y91" s="325">
        <v>-1.8203188863324526E-3</v>
      </c>
      <c r="Z91" s="189">
        <v>-1128</v>
      </c>
      <c r="AA91" s="330">
        <v>-2.9985671449040789E-3</v>
      </c>
      <c r="AB91" s="190" t="s">
        <v>273</v>
      </c>
    </row>
    <row r="92" spans="3:28" ht="12" customHeight="1">
      <c r="C92" s="180" t="s">
        <v>254</v>
      </c>
      <c r="D92" s="181" t="s">
        <v>255</v>
      </c>
      <c r="E92" s="182"/>
      <c r="F92" s="183"/>
      <c r="G92" s="184" t="str">
        <f t="shared" si="14"/>
        <v/>
      </c>
      <c r="H92" s="184" t="str">
        <f t="shared" si="15"/>
        <v/>
      </c>
      <c r="I92" s="185" t="str">
        <f t="shared" si="16"/>
        <v/>
      </c>
      <c r="J92" s="186"/>
      <c r="K92" s="187">
        <f t="shared" si="17"/>
        <v>0</v>
      </c>
      <c r="L92" s="188">
        <v>955000</v>
      </c>
      <c r="M92" s="337"/>
      <c r="N92" s="189"/>
      <c r="O92" s="325"/>
      <c r="P92" s="189"/>
      <c r="Q92" s="330">
        <v>-0.13306164077315102</v>
      </c>
      <c r="R92" s="299">
        <f t="shared" si="18"/>
        <v>0</v>
      </c>
      <c r="S92" s="189">
        <f t="shared" si="19"/>
        <v>0</v>
      </c>
      <c r="T92" s="325"/>
      <c r="U92" s="189"/>
      <c r="V92" s="330">
        <v>-1.8736978181174681E-2</v>
      </c>
      <c r="W92" s="233" t="str">
        <f t="shared" si="20"/>
        <v/>
      </c>
      <c r="X92" s="299" t="str">
        <f t="shared" si="21"/>
        <v/>
      </c>
      <c r="Y92" s="325"/>
      <c r="Z92" s="189"/>
      <c r="AA92" s="330">
        <v>-2.9989497393196449E-3</v>
      </c>
      <c r="AB92" s="190"/>
    </row>
    <row r="93" spans="3:28" ht="12" customHeight="1">
      <c r="C93" s="180" t="s">
        <v>129</v>
      </c>
      <c r="D93" s="181" t="s">
        <v>130</v>
      </c>
      <c r="E93" s="182"/>
      <c r="F93" s="183"/>
      <c r="G93" s="184">
        <f t="shared" si="14"/>
        <v>-44882</v>
      </c>
      <c r="H93" s="184">
        <f t="shared" si="15"/>
        <v>-2.5882556732548814E-2</v>
      </c>
      <c r="I93" s="185">
        <f t="shared" si="16"/>
        <v>-7.1562546340901388E-3</v>
      </c>
      <c r="J93" s="186">
        <v>805118</v>
      </c>
      <c r="K93" s="187">
        <f t="shared" si="17"/>
        <v>850000</v>
      </c>
      <c r="L93" s="188">
        <v>850000</v>
      </c>
      <c r="M93" s="337">
        <v>0.2327363600569855</v>
      </c>
      <c r="N93" s="189">
        <v>187381</v>
      </c>
      <c r="O93" s="325">
        <v>-0.14546829839638215</v>
      </c>
      <c r="P93" s="189">
        <v>-117118</v>
      </c>
      <c r="Q93" s="330">
        <v>-0.11958574166383333</v>
      </c>
      <c r="R93" s="299">
        <f t="shared" si="18"/>
        <v>20838.512311396247</v>
      </c>
      <c r="S93" s="189">
        <f t="shared" si="19"/>
        <v>-101647.88041425832</v>
      </c>
      <c r="T93" s="325">
        <v>-3.0292491650281885E-2</v>
      </c>
      <c r="U93" s="189">
        <v>-24388</v>
      </c>
      <c r="V93" s="330">
        <v>-2.3136237016191746E-2</v>
      </c>
      <c r="W93" s="233">
        <f t="shared" si="20"/>
        <v>-18627.400874002265</v>
      </c>
      <c r="X93" s="299">
        <f t="shared" si="21"/>
        <v>5760.5991259977345</v>
      </c>
      <c r="Y93" s="325">
        <v>-6.9728995909911226E-3</v>
      </c>
      <c r="Z93" s="189">
        <v>-5613</v>
      </c>
      <c r="AA93" s="330">
        <v>-2.9988200013882338E-3</v>
      </c>
      <c r="AB93" s="190" t="s">
        <v>164</v>
      </c>
    </row>
    <row r="94" spans="3:28" ht="12" customHeight="1">
      <c r="C94" s="180" t="s">
        <v>149</v>
      </c>
      <c r="D94" s="181" t="s">
        <v>150</v>
      </c>
      <c r="E94" s="182"/>
      <c r="F94" s="183"/>
      <c r="G94" s="184">
        <f t="shared" si="14"/>
        <v>-887907</v>
      </c>
      <c r="H94" s="184">
        <f t="shared" si="15"/>
        <v>-4.5642242635101485E-2</v>
      </c>
      <c r="I94" s="185">
        <f t="shared" si="16"/>
        <v>-1.268613441564293E-2</v>
      </c>
      <c r="J94" s="186">
        <v>1512093</v>
      </c>
      <c r="K94" s="187">
        <f t="shared" si="17"/>
        <v>2400000</v>
      </c>
      <c r="L94" s="188">
        <v>2400000</v>
      </c>
      <c r="M94" s="337">
        <v>0.16171238257989592</v>
      </c>
      <c r="N94" s="189">
        <v>244525</v>
      </c>
      <c r="O94" s="325">
        <v>-0.13674763175785601</v>
      </c>
      <c r="P94" s="189">
        <v>-206774</v>
      </c>
      <c r="Q94" s="330">
        <v>-9.1105389122754524E-2</v>
      </c>
      <c r="R94" s="299">
        <f t="shared" si="18"/>
        <v>69015.315592838509</v>
      </c>
      <c r="S94" s="189">
        <f t="shared" si="19"/>
        <v>-218652.93389461085</v>
      </c>
      <c r="T94" s="325">
        <v>-2.6730516397150437E-2</v>
      </c>
      <c r="U94" s="189">
        <v>-40418</v>
      </c>
      <c r="V94" s="330">
        <v>-1.4044381981507507E-2</v>
      </c>
      <c r="W94" s="233">
        <f t="shared" si="20"/>
        <v>-21236.411683563631</v>
      </c>
      <c r="X94" s="299">
        <f t="shared" si="21"/>
        <v>19181.588316436369</v>
      </c>
      <c r="Y94" s="325">
        <v>-6.0604778016152454E-3</v>
      </c>
      <c r="Z94" s="189">
        <v>-9163</v>
      </c>
      <c r="AA94" s="330">
        <v>-2.999582083507465E-3</v>
      </c>
      <c r="AB94" s="190" t="s">
        <v>274</v>
      </c>
    </row>
    <row r="95" spans="3:28" ht="12" customHeight="1">
      <c r="C95" s="180" t="s">
        <v>105</v>
      </c>
      <c r="D95" s="181" t="s">
        <v>106</v>
      </c>
      <c r="E95" s="182"/>
      <c r="F95" s="183"/>
      <c r="G95" s="184">
        <f t="shared" si="14"/>
        <v>-940172</v>
      </c>
      <c r="H95" s="184">
        <f t="shared" si="15"/>
        <v>-4.3560606672882779E-2</v>
      </c>
      <c r="I95" s="185">
        <f t="shared" si="16"/>
        <v>-2.3443157405283032E-3</v>
      </c>
      <c r="J95" s="186">
        <v>1439828</v>
      </c>
      <c r="K95" s="187">
        <f t="shared" si="17"/>
        <v>2380000</v>
      </c>
      <c r="L95" s="188">
        <v>2380000</v>
      </c>
      <c r="M95" s="337">
        <v>0.15511585766901162</v>
      </c>
      <c r="N95" s="189">
        <v>223341</v>
      </c>
      <c r="O95" s="325">
        <v>-0.13655529449024084</v>
      </c>
      <c r="P95" s="189">
        <v>-196615</v>
      </c>
      <c r="Q95" s="330">
        <v>-9.2994687817358063E-2</v>
      </c>
      <c r="R95" s="299">
        <f t="shared" si="18"/>
        <v>62719.78118460346</v>
      </c>
      <c r="S95" s="189">
        <f t="shared" si="19"/>
        <v>-221327.35700531219</v>
      </c>
      <c r="T95" s="325">
        <v>-1.7204844748709393E-2</v>
      </c>
      <c r="U95" s="189">
        <v>-24771</v>
      </c>
      <c r="V95" s="330">
        <v>-1.486052900818109E-2</v>
      </c>
      <c r="W95" s="233">
        <f t="shared" si="20"/>
        <v>-21396.605760791364</v>
      </c>
      <c r="X95" s="299">
        <f t="shared" si="21"/>
        <v>3374.3942392086356</v>
      </c>
      <c r="Y95" s="325">
        <v>-7.17933473952079E-3</v>
      </c>
      <c r="Z95" s="189">
        <v>-10336</v>
      </c>
      <c r="AA95" s="330">
        <v>-2.9995785716056423E-3</v>
      </c>
      <c r="AB95" s="190" t="s">
        <v>164</v>
      </c>
    </row>
    <row r="96" spans="3:28" ht="12" customHeight="1">
      <c r="C96" s="180"/>
      <c r="D96" s="181"/>
      <c r="E96" s="182"/>
      <c r="F96" s="183"/>
      <c r="G96" s="184" t="str">
        <f>IFERROR(IF(J96=0,"",J96-L96),0)</f>
        <v/>
      </c>
      <c r="H96" s="184" t="str">
        <f>IFERROR(IF(O96=0,"",O96-Q96),0)</f>
        <v/>
      </c>
      <c r="I96" s="185" t="str">
        <f>IFERROR(IF(J96=0,"",T96-V96),"")</f>
        <v/>
      </c>
      <c r="J96" s="186"/>
      <c r="K96" s="187">
        <f>IF(J96=0,0,L96)</f>
        <v>0</v>
      </c>
      <c r="L96" s="188"/>
      <c r="M96" s="337"/>
      <c r="N96" s="189"/>
      <c r="O96" s="325"/>
      <c r="P96" s="189"/>
      <c r="Q96" s="330"/>
      <c r="R96" s="299">
        <f>(Q96*J96)-(O96*J96)</f>
        <v>0</v>
      </c>
      <c r="S96" s="189">
        <f>IFERROR(Q96*K96,"")</f>
        <v>0</v>
      </c>
      <c r="T96" s="325"/>
      <c r="U96" s="189"/>
      <c r="V96" s="330"/>
      <c r="W96" s="233" t="str">
        <f>IF(J96="","",V96*J96)</f>
        <v/>
      </c>
      <c r="X96" s="299" t="str">
        <f>IFERROR(W96-U96,"")</f>
        <v/>
      </c>
      <c r="Y96" s="325"/>
      <c r="Z96" s="189"/>
      <c r="AA96" s="330"/>
      <c r="AB96" s="190"/>
    </row>
    <row r="97" spans="3:28" ht="12" customHeight="1">
      <c r="C97" s="180"/>
      <c r="D97" s="181"/>
      <c r="E97" s="182"/>
      <c r="F97" s="183"/>
      <c r="G97" s="184" t="str">
        <f>IFERROR(IF(J97=0,"",J97-L97),0)</f>
        <v/>
      </c>
      <c r="H97" s="184" t="str">
        <f>IFERROR(IF(O97=0,"",O97-Q97),0)</f>
        <v/>
      </c>
      <c r="I97" s="185" t="str">
        <f>IFERROR(IF(J97=0,"",T97-V97),"")</f>
        <v/>
      </c>
      <c r="J97" s="186"/>
      <c r="K97" s="187">
        <f>IF(J97=0,0,L97)</f>
        <v>0</v>
      </c>
      <c r="L97" s="188"/>
      <c r="M97" s="337"/>
      <c r="N97" s="189"/>
      <c r="O97" s="325"/>
      <c r="P97" s="189"/>
      <c r="Q97" s="330"/>
      <c r="R97" s="299">
        <f>(Q97*J97)-(O97*J97)</f>
        <v>0</v>
      </c>
      <c r="S97" s="189">
        <f>IFERROR(Q97*K97,"")</f>
        <v>0</v>
      </c>
      <c r="T97" s="325"/>
      <c r="U97" s="189"/>
      <c r="V97" s="330"/>
      <c r="W97" s="233" t="str">
        <f>IF(J97="","",V97*J97)</f>
        <v/>
      </c>
      <c r="X97" s="299" t="str">
        <f>IFERROR(W97-U97,"")</f>
        <v/>
      </c>
      <c r="Y97" s="325"/>
      <c r="Z97" s="189"/>
      <c r="AA97" s="330"/>
      <c r="AB97" s="190"/>
    </row>
    <row r="98" spans="3:28" ht="12" customHeight="1">
      <c r="C98" s="180"/>
      <c r="D98" s="181"/>
      <c r="E98" s="182"/>
      <c r="F98" s="183"/>
      <c r="G98" s="184" t="str">
        <f>IFERROR(IF(J98=0,"",J98-L98),0)</f>
        <v/>
      </c>
      <c r="H98" s="184" t="str">
        <f>IFERROR(IF(O98=0,"",O98-Q98),0)</f>
        <v/>
      </c>
      <c r="I98" s="185" t="str">
        <f>IFERROR(IF(J98=0,"",T98-V98),"")</f>
        <v/>
      </c>
      <c r="J98" s="186"/>
      <c r="K98" s="187">
        <f>IF(J98=0,0,L98)</f>
        <v>0</v>
      </c>
      <c r="L98" s="188"/>
      <c r="M98" s="337"/>
      <c r="N98" s="189"/>
      <c r="O98" s="325"/>
      <c r="P98" s="189"/>
      <c r="Q98" s="330"/>
      <c r="R98" s="299">
        <f>(Q98*J98)-(O98*J98)</f>
        <v>0</v>
      </c>
      <c r="S98" s="189">
        <f>IFERROR(Q98*K98,"")</f>
        <v>0</v>
      </c>
      <c r="T98" s="325"/>
      <c r="U98" s="189"/>
      <c r="V98" s="330"/>
      <c r="W98" s="233" t="str">
        <f>IF(J98="","",V98*J98)</f>
        <v/>
      </c>
      <c r="X98" s="299" t="str">
        <f>IFERROR(W98-U98,"")</f>
        <v/>
      </c>
      <c r="Y98" s="325"/>
      <c r="Z98" s="189"/>
      <c r="AA98" s="330"/>
      <c r="AB98" s="190"/>
    </row>
    <row r="99" spans="3:28" ht="12" customHeight="1">
      <c r="C99" s="180"/>
      <c r="D99" s="181"/>
      <c r="E99" s="182"/>
      <c r="F99" s="183"/>
      <c r="G99" s="184" t="str">
        <f>IFERROR(IF(J99=0,"",J99-L99),0)</f>
        <v/>
      </c>
      <c r="H99" s="184" t="str">
        <f>IFERROR(IF(O99=0,"",O99-Q99),0)</f>
        <v/>
      </c>
      <c r="I99" s="185" t="str">
        <f>IFERROR(IF(J99=0,"",T99-V99),"")</f>
        <v/>
      </c>
      <c r="J99" s="186"/>
      <c r="K99" s="187">
        <f>IF(J99=0,0,L99)</f>
        <v>0</v>
      </c>
      <c r="L99" s="188"/>
      <c r="M99" s="337"/>
      <c r="N99" s="189"/>
      <c r="O99" s="325"/>
      <c r="P99" s="189"/>
      <c r="Q99" s="330"/>
      <c r="R99" s="299">
        <f>(Q99*J99)-(O99*J99)</f>
        <v>0</v>
      </c>
      <c r="S99" s="189">
        <f>IFERROR(Q99*K99,"")</f>
        <v>0</v>
      </c>
      <c r="T99" s="325"/>
      <c r="U99" s="189"/>
      <c r="V99" s="330"/>
      <c r="W99" s="233" t="str">
        <f>IF(J99="","",V99*J99)</f>
        <v/>
      </c>
      <c r="X99" s="299" t="str">
        <f>IFERROR(W99-U99,"")</f>
        <v/>
      </c>
      <c r="Y99" s="325"/>
      <c r="Z99" s="189"/>
      <c r="AA99" s="330"/>
      <c r="AB99" s="190"/>
    </row>
    <row r="100" spans="3:28" ht="12" customHeight="1">
      <c r="C100" s="180"/>
      <c r="D100" s="181"/>
      <c r="E100" s="182"/>
      <c r="F100" s="183"/>
      <c r="G100" s="184" t="str">
        <f>IFERROR(IF(J100=0,"",J100-L100),0)</f>
        <v/>
      </c>
      <c r="H100" s="184" t="str">
        <f>IFERROR(IF(O100=0,"",O100-Q100),0)</f>
        <v/>
      </c>
      <c r="I100" s="185" t="str">
        <f>IFERROR(IF(J100=0,"",T100-V100),"")</f>
        <v/>
      </c>
      <c r="J100" s="186"/>
      <c r="K100" s="187">
        <f>IF(J100=0,0,L100)</f>
        <v>0</v>
      </c>
      <c r="L100" s="188"/>
      <c r="M100" s="337"/>
      <c r="N100" s="189"/>
      <c r="O100" s="325"/>
      <c r="P100" s="189"/>
      <c r="Q100" s="330"/>
      <c r="R100" s="299">
        <f>(Q100*J100)-(O100*J100)</f>
        <v>0</v>
      </c>
      <c r="S100" s="189">
        <f>IFERROR(Q100*K100,"")</f>
        <v>0</v>
      </c>
      <c r="T100" s="325"/>
      <c r="U100" s="189"/>
      <c r="V100" s="330"/>
      <c r="W100" s="233" t="str">
        <f>IF(J100="","",V100*J100)</f>
        <v/>
      </c>
      <c r="X100" s="299" t="str">
        <f>IFERROR(W100-U100,"")</f>
        <v/>
      </c>
      <c r="Y100" s="325"/>
      <c r="Z100" s="189"/>
      <c r="AA100" s="330"/>
      <c r="AB100" s="190"/>
    </row>
  </sheetData>
  <sheetProtection sheet="1" objects="1" scenarios="1"/>
  <mergeCells count="8">
    <mergeCell ref="AB4:AB5"/>
    <mergeCell ref="G1:AA2"/>
    <mergeCell ref="E4:F4"/>
    <mergeCell ref="G4:I4"/>
    <mergeCell ref="J4:M4"/>
    <mergeCell ref="O4:R4"/>
    <mergeCell ref="T4:V4"/>
    <mergeCell ref="Y4:AA4"/>
  </mergeCells>
  <conditionalFormatting sqref="G7:I100">
    <cfRule type="iconSet" priority="25">
      <iconSet showValue="0">
        <cfvo type="percent" val="0"/>
        <cfvo type="num" val="0"/>
        <cfvo type="num" val="1E-8"/>
      </iconSet>
    </cfRule>
  </conditionalFormatting>
  <conditionalFormatting sqref="H7:I100">
    <cfRule type="iconSet" priority="24">
      <iconSet showValue="0">
        <cfvo type="percent" val="0"/>
        <cfvo type="num" val="0"/>
        <cfvo type="num" val="9.9999999999999995E-8"/>
      </iconSet>
    </cfRule>
  </conditionalFormatting>
  <conditionalFormatting sqref="I7:I100">
    <cfRule type="iconSet" priority="23">
      <iconSet showValue="0">
        <cfvo type="percent" val="0"/>
        <cfvo type="num" val="0"/>
        <cfvo type="num" val="1E-8"/>
      </iconSet>
    </cfRule>
  </conditionalFormatting>
  <conditionalFormatting sqref="G6:H6">
    <cfRule type="iconSet" priority="22">
      <iconSet showValue="0">
        <cfvo type="percent" val="0"/>
        <cfvo type="num" val="0"/>
        <cfvo type="num" val="1E-8"/>
      </iconSet>
    </cfRule>
  </conditionalFormatting>
  <conditionalFormatting sqref="H6">
    <cfRule type="iconSet" priority="21">
      <iconSet showValue="0">
        <cfvo type="percent" val="0"/>
        <cfvo type="num" val="0"/>
        <cfvo type="num" val="9.9999999999999995E-8"/>
      </iconSet>
    </cfRule>
  </conditionalFormatting>
  <conditionalFormatting sqref="I6">
    <cfRule type="iconSet" priority="20">
      <iconSet showValue="0">
        <cfvo type="percent" val="0"/>
        <cfvo type="num" val="0"/>
        <cfvo type="num" val="1E-8"/>
      </iconSet>
    </cfRule>
  </conditionalFormatting>
  <conditionalFormatting sqref="H19:I20">
    <cfRule type="iconSet" priority="19">
      <iconSet showValue="0">
        <cfvo type="percent" val="0"/>
        <cfvo type="num" val="0"/>
        <cfvo type="num" val="9.9999999999999995E-8"/>
      </iconSet>
    </cfRule>
  </conditionalFormatting>
  <conditionalFormatting sqref="I19:I20">
    <cfRule type="iconSet" priority="18">
      <iconSet showValue="0">
        <cfvo type="percent" val="0"/>
        <cfvo type="num" val="0"/>
        <cfvo type="num" val="1E-8"/>
      </iconSet>
    </cfRule>
  </conditionalFormatting>
  <conditionalFormatting sqref="O7:O100">
    <cfRule type="cellIs" dxfId="37" priority="16" operator="equal">
      <formula>0</formula>
    </cfRule>
    <cfRule type="cellIs" dxfId="36" priority="17" operator="greaterThanOrEqual">
      <formula>Q7</formula>
    </cfRule>
  </conditionalFormatting>
  <conditionalFormatting sqref="T7:T100">
    <cfRule type="cellIs" dxfId="35" priority="15" operator="greaterThanOrEqual">
      <formula>V7</formula>
    </cfRule>
  </conditionalFormatting>
  <conditionalFormatting sqref="Y7:Y100">
    <cfRule type="cellIs" dxfId="34" priority="14" operator="greaterThanOrEqual">
      <formula>AA$7</formula>
    </cfRule>
  </conditionalFormatting>
  <conditionalFormatting sqref="AB7:AB100">
    <cfRule type="cellIs" dxfId="33" priority="13" operator="equal">
      <formula>0</formula>
    </cfRule>
  </conditionalFormatting>
  <conditionalFormatting sqref="F7:F100">
    <cfRule type="iconSet" priority="12">
      <iconSet reverse="1">
        <cfvo type="percent" val="0"/>
        <cfvo type="num" val="5"/>
        <cfvo type="num" val="10"/>
      </iconSet>
    </cfRule>
  </conditionalFormatting>
  <conditionalFormatting sqref="F6">
    <cfRule type="iconSet" priority="11">
      <iconSet>
        <cfvo type="percent" val="0"/>
        <cfvo type="num" val="0.8"/>
        <cfvo type="num" val="0.9"/>
      </iconSet>
    </cfRule>
  </conditionalFormatting>
  <conditionalFormatting sqref="T7:T100">
    <cfRule type="cellIs" dxfId="32" priority="9" operator="equal">
      <formula>0</formula>
    </cfRule>
    <cfRule type="cellIs" dxfId="31" priority="10" operator="greaterThanOrEqual">
      <formula>V7</formula>
    </cfRule>
  </conditionalFormatting>
  <conditionalFormatting sqref="Y7:Y100">
    <cfRule type="cellIs" dxfId="30" priority="8" operator="greaterThanOrEqual">
      <formula>AA7</formula>
    </cfRule>
  </conditionalFormatting>
  <conditionalFormatting sqref="Y7:Y100">
    <cfRule type="cellIs" dxfId="29" priority="6" operator="equal">
      <formula>0</formula>
    </cfRule>
    <cfRule type="cellIs" dxfId="28" priority="7" operator="greaterThanOrEqual">
      <formula>AA7</formula>
    </cfRule>
  </conditionalFormatting>
  <conditionalFormatting sqref="J7:J100">
    <cfRule type="cellIs" dxfId="27" priority="4" operator="equal">
      <formula>0</formula>
    </cfRule>
    <cfRule type="cellIs" dxfId="26" priority="5" operator="greaterThanOrEqual">
      <formula>L7</formula>
    </cfRule>
  </conditionalFormatting>
  <conditionalFormatting sqref="F6">
    <cfRule type="iconSet" priority="3">
      <iconSet reverse="1">
        <cfvo type="percent" val="0"/>
        <cfvo type="num" val="5"/>
        <cfvo type="num" val="10"/>
      </iconSet>
    </cfRule>
  </conditionalFormatting>
  <conditionalFormatting sqref="R7:R100">
    <cfRule type="cellIs" dxfId="25" priority="2" operator="greaterThan">
      <formula>0</formula>
    </cfRule>
  </conditionalFormatting>
  <conditionalFormatting sqref="X7:X100">
    <cfRule type="cellIs" dxfId="24" priority="1" operator="greaterThan">
      <formula>0</formula>
    </cfRule>
  </conditionalFormatting>
  <printOptions horizontalCentered="1" verticalCentered="1"/>
  <pageMargins left="0" right="0" top="0" bottom="0" header="0" footer="0"/>
  <pageSetup paperSize="9" scale="70"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Spinner 3">
              <controlPr defaultSize="0" autoPict="0" macro="[0]!GetStoresInRegion">
                <anchor moveWithCells="1" sizeWithCells="1">
                  <from>
                    <xdr:col>4</xdr:col>
                    <xdr:colOff>9525</xdr:colOff>
                    <xdr:row>0</xdr:row>
                    <xdr:rowOff>295275</xdr:rowOff>
                  </from>
                  <to>
                    <xdr:col>4</xdr:col>
                    <xdr:colOff>228600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GetStoresInRegion">
                <anchor moveWithCells="1" sizeWithCells="1">
                  <from>
                    <xdr:col>5</xdr:col>
                    <xdr:colOff>123825</xdr:colOff>
                    <xdr:row>0</xdr:row>
                    <xdr:rowOff>57150</xdr:rowOff>
                  </from>
                  <to>
                    <xdr:col>7</xdr:col>
                    <xdr:colOff>142875</xdr:colOff>
                    <xdr:row>0</xdr:row>
                    <xdr:rowOff>266700</xdr:rowOff>
                  </to>
                </anchor>
              </controlPr>
            </control>
          </mc:Choice>
        </mc:AlternateContent>
        <mc:AlternateContent xmlns:mc="http://schemas.openxmlformats.org/markup-compatibility/2006">
          <mc:Choice Requires="x14">
            <control shapeId="3077" r:id="rId6" name="Button 5">
              <controlPr defaultSize="0" print="0" autoFill="0" autoPict="0" macro="[0]!login">
                <anchor moveWithCells="1" sizeWithCells="1">
                  <from>
                    <xdr:col>7</xdr:col>
                    <xdr:colOff>142875</xdr:colOff>
                    <xdr:row>0</xdr:row>
                    <xdr:rowOff>57150</xdr:rowOff>
                  </from>
                  <to>
                    <xdr:col>9</xdr:col>
                    <xdr:colOff>295275</xdr:colOff>
                    <xdr:row>0</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pageSetUpPr fitToPage="1"/>
  </sheetPr>
  <dimension ref="A1:AC103"/>
  <sheetViews>
    <sheetView zoomScaleNormal="100" workbookViewId="0">
      <pane ySplit="6" topLeftCell="A7" activePane="bottomLeft" state="frozenSplit"/>
      <selection activeCell="K13" sqref="K13"/>
      <selection pane="bottomLeft" activeCell="C7" sqref="C7"/>
    </sheetView>
  </sheetViews>
  <sheetFormatPr baseColWidth="10" defaultColWidth="9.140625" defaultRowHeight="15"/>
  <cols>
    <col min="1" max="1" width="2.7109375" hidden="1" customWidth="1"/>
    <col min="2" max="2" width="0" hidden="1" customWidth="1"/>
    <col min="3" max="3" width="6.85546875" customWidth="1"/>
    <col min="4" max="4" width="20" bestFit="1" customWidth="1"/>
    <col min="5" max="5" width="7" bestFit="1" customWidth="1"/>
    <col min="6" max="6" width="11.7109375" style="382" bestFit="1" customWidth="1"/>
    <col min="7" max="7" width="3.28515625" style="3" bestFit="1" customWidth="1"/>
    <col min="8" max="8" width="10.5703125" style="380" customWidth="1"/>
    <col min="9" max="9" width="3.85546875" style="3" customWidth="1"/>
    <col min="10" max="10" width="12" style="380" customWidth="1"/>
    <col min="11" max="11" width="3.28515625" style="3" bestFit="1" customWidth="1"/>
    <col min="12" max="12" width="10.28515625" style="380" customWidth="1"/>
    <col min="13" max="13" width="3.28515625" style="3" bestFit="1" customWidth="1"/>
    <col min="14" max="14" width="9.42578125" style="382" customWidth="1"/>
    <col min="15" max="15" width="3.28515625" style="3" bestFit="1" customWidth="1"/>
    <col min="16" max="16" width="11.5703125" style="380" bestFit="1" customWidth="1"/>
    <col min="17" max="17" width="3.28515625" style="3" bestFit="1" customWidth="1"/>
    <col min="18" max="18" width="9.140625" style="380"/>
    <col min="19" max="19" width="3.28515625" style="3" bestFit="1" customWidth="1"/>
    <col min="20" max="20" width="7.7109375" style="380" bestFit="1" customWidth="1"/>
    <col min="21" max="21" width="3.28515625" style="3" bestFit="1" customWidth="1"/>
    <col min="22" max="22" width="9.7109375" style="380" bestFit="1" customWidth="1"/>
    <col min="23" max="23" width="3.85546875" style="3" customWidth="1"/>
    <col min="24" max="24" width="9.5703125" customWidth="1"/>
    <col min="26" max="26" width="11" bestFit="1" customWidth="1"/>
    <col min="27" max="27" width="9.5703125" bestFit="1" customWidth="1"/>
  </cols>
  <sheetData>
    <row r="1" spans="1:29" ht="24" customHeight="1">
      <c r="A1" s="80"/>
      <c r="B1" s="77"/>
      <c r="C1" s="79"/>
      <c r="D1" s="79"/>
      <c r="E1" s="81"/>
      <c r="F1" s="903" t="s">
        <v>154</v>
      </c>
      <c r="G1" s="903"/>
      <c r="H1" s="903"/>
      <c r="I1" s="903"/>
      <c r="J1" s="903"/>
      <c r="K1" s="903"/>
      <c r="L1" s="903"/>
      <c r="M1" s="903"/>
      <c r="N1" s="903"/>
      <c r="O1" s="903"/>
      <c r="P1" s="903"/>
      <c r="Q1" s="903"/>
      <c r="R1" s="903"/>
      <c r="S1" s="341"/>
      <c r="T1" s="341"/>
      <c r="U1" s="341"/>
      <c r="V1" s="341"/>
      <c r="W1" s="341"/>
      <c r="X1" s="764" t="s">
        <v>472</v>
      </c>
      <c r="Y1" s="216"/>
      <c r="Z1" s="216"/>
      <c r="AA1" s="216"/>
    </row>
    <row r="2" spans="1:29" ht="15.75" customHeight="1">
      <c r="C2" s="87" t="s">
        <v>0</v>
      </c>
      <c r="D2" s="88">
        <v>1</v>
      </c>
      <c r="E2" s="77"/>
      <c r="F2" s="903"/>
      <c r="G2" s="903"/>
      <c r="H2" s="903"/>
      <c r="I2" s="903"/>
      <c r="J2" s="903"/>
      <c r="K2" s="903"/>
      <c r="L2" s="903"/>
      <c r="M2" s="903"/>
      <c r="N2" s="903"/>
      <c r="O2" s="903"/>
      <c r="P2" s="903"/>
      <c r="Q2" s="903"/>
      <c r="R2" s="903"/>
      <c r="S2" s="341"/>
      <c r="T2" s="341"/>
      <c r="U2" s="341"/>
      <c r="V2" s="341"/>
      <c r="W2" s="341"/>
      <c r="X2" s="216"/>
      <c r="Y2" s="216"/>
      <c r="Z2" s="216"/>
      <c r="AA2" s="216"/>
    </row>
    <row r="3" spans="1:29" ht="13.5" customHeight="1">
      <c r="A3" s="80"/>
      <c r="B3" s="77"/>
      <c r="C3" s="79"/>
      <c r="D3" s="79"/>
      <c r="E3" s="81"/>
      <c r="F3" s="217"/>
      <c r="G3" s="217"/>
      <c r="H3" s="217"/>
      <c r="I3" s="217"/>
      <c r="J3" s="586"/>
      <c r="K3" s="217"/>
      <c r="L3" s="217"/>
      <c r="M3" s="217"/>
      <c r="N3" s="217"/>
      <c r="O3" s="217"/>
      <c r="P3" s="217"/>
      <c r="Q3" s="217"/>
      <c r="R3" s="217"/>
      <c r="S3" s="217"/>
      <c r="T3" s="217"/>
      <c r="U3" s="217"/>
      <c r="V3" s="217"/>
      <c r="W3" s="217"/>
      <c r="X3" s="210"/>
      <c r="Y3" s="210"/>
      <c r="Z3" s="210"/>
      <c r="AA3" s="210"/>
    </row>
    <row r="4" spans="1:29" s="226" customFormat="1" ht="15.75" customHeight="1">
      <c r="A4" s="224"/>
      <c r="B4" s="224"/>
      <c r="C4" s="225" t="s">
        <v>40</v>
      </c>
      <c r="D4" s="225" t="s">
        <v>41</v>
      </c>
      <c r="E4" s="225"/>
      <c r="F4" s="928" t="s">
        <v>29</v>
      </c>
      <c r="G4" s="929"/>
      <c r="H4" s="926" t="s">
        <v>375</v>
      </c>
      <c r="I4" s="927"/>
      <c r="J4" s="926" t="s">
        <v>406</v>
      </c>
      <c r="K4" s="927"/>
      <c r="L4" s="926" t="s">
        <v>5</v>
      </c>
      <c r="M4" s="927"/>
      <c r="N4" s="928" t="s">
        <v>47</v>
      </c>
      <c r="O4" s="929"/>
      <c r="P4" s="926" t="s">
        <v>46</v>
      </c>
      <c r="Q4" s="927"/>
      <c r="R4" s="926" t="s">
        <v>6</v>
      </c>
      <c r="S4" s="927"/>
      <c r="T4" s="926" t="s">
        <v>7</v>
      </c>
      <c r="U4" s="927"/>
      <c r="V4" s="926" t="s">
        <v>50</v>
      </c>
      <c r="W4" s="927"/>
      <c r="X4" s="758" t="s">
        <v>426</v>
      </c>
      <c r="Y4" s="757" t="s">
        <v>427</v>
      </c>
      <c r="Z4" s="756" t="s">
        <v>431</v>
      </c>
      <c r="AA4" s="327" t="s">
        <v>428</v>
      </c>
    </row>
    <row r="5" spans="1:29" s="223" customFormat="1" ht="24" customHeight="1" thickBot="1">
      <c r="A5" s="220"/>
      <c r="B5" s="220"/>
      <c r="C5" s="924" t="s">
        <v>153</v>
      </c>
      <c r="D5" s="925"/>
      <c r="E5" s="293"/>
      <c r="F5" s="294">
        <f>AVERAGE(F$7:F$100)</f>
        <v>843548</v>
      </c>
      <c r="G5" s="295"/>
      <c r="H5" s="296">
        <f>AVERAGE(H$7:H$100)</f>
        <v>0.16604627122582236</v>
      </c>
      <c r="I5" s="295"/>
      <c r="J5" s="296">
        <f>AVERAGE(J$7:J$100)</f>
        <v>0.19951561736854334</v>
      </c>
      <c r="K5" s="295"/>
      <c r="L5" s="296">
        <f>AVERAGE(L$7:L$100)</f>
        <v>-0.13829444204716271</v>
      </c>
      <c r="M5" s="295"/>
      <c r="N5" s="294">
        <f>AVERAGE(N$7:N$100)</f>
        <v>1878.7260579064589</v>
      </c>
      <c r="O5" s="295"/>
      <c r="P5" s="296">
        <f>AVERAGE(P$7:P$100)</f>
        <v>1.7817371937639197E-2</v>
      </c>
      <c r="Q5" s="295"/>
      <c r="R5" s="296">
        <f>AVERAGE(R$7:R$100)</f>
        <v>-4.6392143659874721E-2</v>
      </c>
      <c r="S5" s="295"/>
      <c r="T5" s="296">
        <f>AVERAGE(T$7:T$100)</f>
        <v>-1.6138067064230412E-2</v>
      </c>
      <c r="U5" s="295"/>
      <c r="V5" s="296">
        <f>AVERAGE(V$7:V$100)</f>
        <v>-1.8640314481215059E-2</v>
      </c>
      <c r="W5" s="295"/>
      <c r="X5" s="296">
        <f>AVERAGE(X$7:X$100)</f>
        <v>0.25</v>
      </c>
      <c r="Y5" s="296">
        <f>AVERAGE(Y$7:Y$100)</f>
        <v>0.25</v>
      </c>
      <c r="Z5" s="296">
        <f>AVERAGE(Z$7:Z$100)</f>
        <v>0.5</v>
      </c>
      <c r="AA5" s="761">
        <f>AVERAGE(AA$7:AA$100)</f>
        <v>4</v>
      </c>
    </row>
    <row r="6" spans="1:29" s="223" customFormat="1" ht="20.25" customHeight="1" thickTop="1">
      <c r="A6" s="80"/>
      <c r="B6" s="80"/>
      <c r="C6" s="722" t="str">
        <f>sysX!A2</f>
        <v>4301</v>
      </c>
      <c r="D6" s="723" t="str">
        <f>sysX!A4</f>
        <v>BERJASEN</v>
      </c>
      <c r="E6" s="724" t="str">
        <f>sysX!A6</f>
        <v>2019</v>
      </c>
      <c r="F6" s="725" t="e">
        <f>VLOOKUP($C$6,$C$7:$AA$102,4,FALSE)</f>
        <v>#N/A</v>
      </c>
      <c r="G6" s="227" t="str">
        <f>IFERROR(RANK(F6,F$6:F$101),"")</f>
        <v/>
      </c>
      <c r="H6" s="222" t="e">
        <f>VLOOKUP($C$6,$C$7:$AA$102,6,FALSE)</f>
        <v>#N/A</v>
      </c>
      <c r="I6" s="227" t="str">
        <f>IFERROR(RANK(H6,H$6:H$101),"")</f>
        <v/>
      </c>
      <c r="J6" s="222" t="e">
        <f>VLOOKUP($C$6,$C$7:$AA$102,8,FALSE)</f>
        <v>#N/A</v>
      </c>
      <c r="K6" s="227"/>
      <c r="L6" s="222" t="e">
        <f>VLOOKUP($C$6,$C$7:$AA$102,10,FALSE)</f>
        <v>#N/A</v>
      </c>
      <c r="M6" s="227" t="str">
        <f>IFERROR(RANK(L6,L$6:L$101),"")</f>
        <v/>
      </c>
      <c r="N6" s="221" t="e">
        <f>VLOOKUP($C$6,$C$7:$AA$102,12,FALSE)</f>
        <v>#N/A</v>
      </c>
      <c r="O6" s="227" t="str">
        <f>IFERROR(RANK(N6,N$6:N$101),"")</f>
        <v/>
      </c>
      <c r="P6" s="222" t="e">
        <f>VLOOKUP($C$6,$C$7:$AA$102,14,FALSE)</f>
        <v>#N/A</v>
      </c>
      <c r="Q6" s="227" t="str">
        <f>IFERROR(RANK(P6,P$6:P$101,1),"")</f>
        <v/>
      </c>
      <c r="R6" s="222" t="e">
        <f>VLOOKUP($C$6,$C$7:$AA$102,16,FALSE)</f>
        <v>#N/A</v>
      </c>
      <c r="S6" s="227" t="str">
        <f>IFERROR(RANK(R6,R$6:R$101),"")</f>
        <v/>
      </c>
      <c r="T6" s="222">
        <v>-2.0249665962867897E-2</v>
      </c>
      <c r="U6" s="227">
        <f>IFERROR(RANK(T6,T$6:T$101,0),"")</f>
        <v>2</v>
      </c>
      <c r="V6" s="222" t="e">
        <f>VLOOKUP($C$6,$C$7:$AA$102,20,FALSE)</f>
        <v>#N/A</v>
      </c>
      <c r="W6" s="227" t="str">
        <f>IFERROR(RANK(V6,V$6:V$101,0),"")</f>
        <v/>
      </c>
      <c r="X6" s="222">
        <v>0.33333333333333331</v>
      </c>
      <c r="Y6" s="222">
        <v>0.66666666666666663</v>
      </c>
      <c r="Z6" s="222">
        <v>0</v>
      </c>
      <c r="AA6" s="762">
        <v>3</v>
      </c>
    </row>
    <row r="7" spans="1:29" s="179" customFormat="1" ht="12">
      <c r="A7" s="168"/>
      <c r="B7" s="168"/>
      <c r="C7" s="168" t="s">
        <v>469</v>
      </c>
      <c r="D7" s="168" t="s">
        <v>470</v>
      </c>
      <c r="E7" s="168"/>
      <c r="F7" s="719">
        <v>843548</v>
      </c>
      <c r="G7" s="720">
        <f>IFERROR(RANK(F7,F$7:F$102),"")</f>
        <v>1</v>
      </c>
      <c r="H7" s="721">
        <v>0.16604627122582236</v>
      </c>
      <c r="I7" s="720">
        <f>IFERROR(RANK(H7,H$7:H$102),"")</f>
        <v>1</v>
      </c>
      <c r="J7" s="721">
        <v>0.19951561736854334</v>
      </c>
      <c r="K7" s="720">
        <v>1</v>
      </c>
      <c r="L7" s="721">
        <v>-0.13829444204716271</v>
      </c>
      <c r="M7" s="720">
        <f>IFERROR(RANK(L7,L$7:L$102),"")</f>
        <v>1</v>
      </c>
      <c r="N7" s="719">
        <v>1878.7260579064589</v>
      </c>
      <c r="O7" s="720">
        <f>IFERROR(RANK(N7,N$7:N$102),"")</f>
        <v>1</v>
      </c>
      <c r="P7" s="721">
        <v>1.7817371937639197E-2</v>
      </c>
      <c r="Q7" s="720">
        <f>IFERROR(IF(F7&gt;0,RANK(P7,P$7:P$102,1),""),"")</f>
        <v>1</v>
      </c>
      <c r="R7" s="721">
        <v>-4.6392143659874721E-2</v>
      </c>
      <c r="S7" s="720">
        <f>IFERROR(RANK(R7,R$7:R$102),"")</f>
        <v>1</v>
      </c>
      <c r="T7" s="721">
        <v>-1.6138067064230412E-2</v>
      </c>
      <c r="U7" s="720">
        <f>IFERROR(IF(F7&gt;0,RANK(T7,T$7:T$102,0),""),"")</f>
        <v>1</v>
      </c>
      <c r="V7" s="721">
        <v>-1.8640314481215059E-2</v>
      </c>
      <c r="W7" s="720">
        <f>IFERROR(IF(F7&gt;0,RANK(V7,V$7:V$102,0),""),"")</f>
        <v>1</v>
      </c>
      <c r="X7" s="759">
        <v>0.25</v>
      </c>
      <c r="Y7" s="759">
        <v>0.25</v>
      </c>
      <c r="Z7" s="759">
        <v>0.5</v>
      </c>
      <c r="AA7" s="760">
        <v>4</v>
      </c>
    </row>
    <row r="8" spans="1:29" s="179" customFormat="1" ht="12">
      <c r="A8" s="168"/>
      <c r="B8" s="168"/>
      <c r="F8" s="381"/>
      <c r="G8" s="228" t="str">
        <f>IFERROR(RANK(F8,F$7:F$102),"")</f>
        <v/>
      </c>
      <c r="H8" s="379"/>
      <c r="I8" s="228" t="str">
        <f>IFERROR(RANK(H8,H$7:H$102),"")</f>
        <v/>
      </c>
      <c r="J8" s="379"/>
      <c r="K8" s="228"/>
      <c r="L8" s="379"/>
      <c r="M8" s="228" t="str">
        <f>IFERROR(RANK(L8,L$7:L$102),"")</f>
        <v/>
      </c>
      <c r="N8" s="381"/>
      <c r="O8" s="228" t="str">
        <f>IFERROR(RANK(N8,N$7:N$102),"")</f>
        <v/>
      </c>
      <c r="P8" s="379"/>
      <c r="Q8" s="228" t="str">
        <f>IFERROR(IF(F8&gt;0,RANK(P8,P$7:P$102,1),""),"")</f>
        <v/>
      </c>
      <c r="R8" s="379"/>
      <c r="S8" s="228" t="str">
        <f>IFERROR(RANK(R8,R$7:R$102),"")</f>
        <v/>
      </c>
      <c r="T8" s="379"/>
      <c r="U8" s="228" t="str">
        <f>IFERROR(IF(F8&gt;0,RANK(T8,T$7:T$102,0),""),"")</f>
        <v/>
      </c>
      <c r="V8" s="379"/>
      <c r="W8" s="228" t="str">
        <f>IFERROR(IF(F8&gt;0,RANK(V8,V$7:V$102,0),""),"")</f>
        <v/>
      </c>
      <c r="X8" s="759"/>
      <c r="Y8" s="759"/>
      <c r="Z8" s="759"/>
      <c r="AA8" s="760"/>
    </row>
    <row r="9" spans="1:29" s="179" customFormat="1" ht="12">
      <c r="A9" s="168"/>
      <c r="B9" s="168"/>
      <c r="F9" s="381"/>
      <c r="G9" s="228" t="str">
        <f>IFERROR(RANK(F9,F$7:F$102),"")</f>
        <v/>
      </c>
      <c r="H9" s="379"/>
      <c r="I9" s="228" t="str">
        <f>IFERROR(RANK(H9,H$7:H$102),"")</f>
        <v/>
      </c>
      <c r="J9" s="379"/>
      <c r="K9" s="228"/>
      <c r="L9" s="379"/>
      <c r="M9" s="228" t="str">
        <f>IFERROR(RANK(L9,L$7:L$102),"")</f>
        <v/>
      </c>
      <c r="N9" s="381"/>
      <c r="O9" s="228" t="str">
        <f>IFERROR(RANK(N9,N$7:N$102),"")</f>
        <v/>
      </c>
      <c r="P9" s="379"/>
      <c r="Q9" s="228" t="str">
        <f>IFERROR(IF(F9&gt;0,RANK(P9,P$7:P$102,1),""),"")</f>
        <v/>
      </c>
      <c r="R9" s="379"/>
      <c r="S9" s="228" t="str">
        <f>IFERROR(RANK(R9,R$7:R$102),"")</f>
        <v/>
      </c>
      <c r="T9" s="379"/>
      <c r="U9" s="228" t="str">
        <f>IFERROR(IF(F9&gt;0,RANK(T9,T$7:T$102,0),""),"")</f>
        <v/>
      </c>
      <c r="V9" s="379"/>
      <c r="W9" s="228" t="str">
        <f>IFERROR(IF(F9&gt;0,RANK(V9,V$7:V$102,0),""),"")</f>
        <v/>
      </c>
      <c r="X9" s="759"/>
      <c r="Y9" s="759"/>
      <c r="Z9" s="759"/>
      <c r="AA9" s="760"/>
    </row>
    <row r="10" spans="1:29" s="179" customFormat="1" ht="12">
      <c r="A10" s="168"/>
      <c r="B10" s="168"/>
      <c r="C10" s="726"/>
      <c r="D10" s="168"/>
      <c r="E10" s="168"/>
      <c r="F10" s="719"/>
      <c r="G10" s="720" t="str">
        <f>IFERROR(RANK(F10,F$7:F$102),"")</f>
        <v/>
      </c>
      <c r="H10" s="721"/>
      <c r="I10" s="720" t="str">
        <f>IFERROR(RANK(H10,H$7:H$102),"")</f>
        <v/>
      </c>
      <c r="J10" s="721"/>
      <c r="K10" s="720"/>
      <c r="L10" s="721"/>
      <c r="M10" s="720" t="str">
        <f>IFERROR(RANK(L10,L$7:L$102),"")</f>
        <v/>
      </c>
      <c r="N10" s="719"/>
      <c r="O10" s="720" t="str">
        <f>IFERROR(RANK(N10,N$7:N$102),"")</f>
        <v/>
      </c>
      <c r="P10" s="721"/>
      <c r="Q10" s="720" t="str">
        <f>IFERROR(IF(F10&gt;0,RANK(P10,P$7:P$102,1),""),"")</f>
        <v/>
      </c>
      <c r="R10" s="721"/>
      <c r="S10" s="720" t="str">
        <f>IFERROR(RANK(R10,R$7:R$102),"")</f>
        <v/>
      </c>
      <c r="T10" s="721"/>
      <c r="U10" s="720" t="str">
        <f>IFERROR(IF(F10&gt;0,RANK(T10,T$7:T$102,0),""),"")</f>
        <v/>
      </c>
      <c r="V10" s="721"/>
      <c r="W10" s="720" t="str">
        <f>IFERROR(IF(F10&gt;0,RANK(V10,V$7:V$102,0),""),"")</f>
        <v/>
      </c>
      <c r="X10" s="759"/>
      <c r="Y10" s="759"/>
      <c r="Z10" s="759"/>
      <c r="AA10" s="760"/>
    </row>
    <row r="11" spans="1:29" s="179" customFormat="1" ht="12">
      <c r="A11" s="168"/>
      <c r="B11" s="168"/>
      <c r="C11" s="726"/>
      <c r="D11" s="168"/>
      <c r="E11" s="168"/>
      <c r="F11" s="719"/>
      <c r="G11" s="720" t="str">
        <f>IFERROR(RANK(F11,F$7:F$102),"")</f>
        <v/>
      </c>
      <c r="H11" s="721"/>
      <c r="I11" s="720" t="str">
        <f>IFERROR(RANK(H11,H$7:H$102),"")</f>
        <v/>
      </c>
      <c r="J11" s="721"/>
      <c r="K11" s="720"/>
      <c r="L11" s="721"/>
      <c r="M11" s="720" t="str">
        <f>IFERROR(RANK(L11,L$7:L$102),"")</f>
        <v/>
      </c>
      <c r="N11" s="719"/>
      <c r="O11" s="720" t="str">
        <f>IFERROR(RANK(N11,N$7:N$102),"")</f>
        <v/>
      </c>
      <c r="P11" s="721"/>
      <c r="Q11" s="720" t="str">
        <f>IFERROR(IF(F11&gt;0,RANK(P11,P$7:P$102,1),""),"")</f>
        <v/>
      </c>
      <c r="R11" s="721"/>
      <c r="S11" s="720" t="str">
        <f>IFERROR(RANK(R11,R$7:R$102),"")</f>
        <v/>
      </c>
      <c r="T11" s="721"/>
      <c r="U11" s="720" t="str">
        <f>IFERROR(IF(F11&gt;0,RANK(T11,T$7:T$102,0),""),"")</f>
        <v/>
      </c>
      <c r="V11" s="721"/>
      <c r="W11" s="720" t="str">
        <f>IFERROR(IF(F11&gt;0,RANK(V11,V$7:V$102,0),""),"")</f>
        <v/>
      </c>
      <c r="X11" s="811"/>
      <c r="Y11" s="811"/>
      <c r="Z11" s="811"/>
      <c r="AA11" s="812"/>
      <c r="AB11" s="179" t="str">
        <f t="shared" ref="AB11:AB71" si="0">I11</f>
        <v/>
      </c>
      <c r="AC11" s="179" t="str">
        <f t="shared" ref="AC11:AC71" si="1">W11</f>
        <v/>
      </c>
    </row>
    <row r="12" spans="1:29" s="179" customFormat="1" ht="12">
      <c r="A12" s="168"/>
      <c r="B12" s="168"/>
      <c r="C12" s="726"/>
      <c r="D12" s="168"/>
      <c r="E12" s="168"/>
      <c r="F12" s="719"/>
      <c r="G12" s="720" t="str">
        <f>IFERROR(RANK(F12,F$7:F$102),"")</f>
        <v/>
      </c>
      <c r="H12" s="721"/>
      <c r="I12" s="720" t="str">
        <f>IFERROR(RANK(H12,H$7:H$102),"")</f>
        <v/>
      </c>
      <c r="J12" s="721"/>
      <c r="K12" s="720"/>
      <c r="L12" s="721"/>
      <c r="M12" s="720" t="str">
        <f>IFERROR(RANK(L12,L$7:L$102),"")</f>
        <v/>
      </c>
      <c r="N12" s="719"/>
      <c r="O12" s="720" t="str">
        <f>IFERROR(RANK(N12,N$7:N$102),"")</f>
        <v/>
      </c>
      <c r="P12" s="721"/>
      <c r="Q12" s="720" t="str">
        <f>IFERROR(IF(F12&gt;0,RANK(P12,P$7:P$102,1),""),"")</f>
        <v/>
      </c>
      <c r="R12" s="721"/>
      <c r="S12" s="720" t="str">
        <f>IFERROR(RANK(R12,R$7:R$102),"")</f>
        <v/>
      </c>
      <c r="T12" s="721"/>
      <c r="U12" s="720" t="str">
        <f>IFERROR(IF(F12&gt;0,RANK(T12,T$7:T$102,0),""),"")</f>
        <v/>
      </c>
      <c r="V12" s="721"/>
      <c r="W12" s="720" t="str">
        <f>IFERROR(IF(F12&gt;0,RANK(V12,V$7:V$102,0),""),"")</f>
        <v/>
      </c>
      <c r="X12" s="759"/>
      <c r="Y12" s="759"/>
      <c r="Z12" s="759"/>
      <c r="AA12" s="760"/>
      <c r="AB12" s="179" t="str">
        <f t="shared" si="0"/>
        <v/>
      </c>
      <c r="AC12" s="179" t="str">
        <f t="shared" si="1"/>
        <v/>
      </c>
    </row>
    <row r="13" spans="1:29" s="179" customFormat="1" ht="12">
      <c r="A13" s="168"/>
      <c r="B13" s="168"/>
      <c r="C13" s="726"/>
      <c r="D13" s="168"/>
      <c r="E13" s="168"/>
      <c r="F13" s="719"/>
      <c r="G13" s="720" t="str">
        <f>IFERROR(RANK(F13,F$7:F$102),"")</f>
        <v/>
      </c>
      <c r="H13" s="721"/>
      <c r="I13" s="720" t="str">
        <f>IFERROR(RANK(H13,H$7:H$102),"")</f>
        <v/>
      </c>
      <c r="J13" s="721"/>
      <c r="K13" s="720"/>
      <c r="L13" s="721"/>
      <c r="M13" s="720" t="str">
        <f>IFERROR(RANK(L13,L$7:L$102),"")</f>
        <v/>
      </c>
      <c r="N13" s="719"/>
      <c r="O13" s="720" t="str">
        <f>IFERROR(RANK(N13,N$7:N$102),"")</f>
        <v/>
      </c>
      <c r="P13" s="721"/>
      <c r="Q13" s="720" t="str">
        <f>IFERROR(IF(F13&gt;0,RANK(P13,P$7:P$102,1),""),"")</f>
        <v/>
      </c>
      <c r="R13" s="721"/>
      <c r="S13" s="720" t="str">
        <f>IFERROR(RANK(R13,R$7:R$102),"")</f>
        <v/>
      </c>
      <c r="T13" s="721"/>
      <c r="U13" s="720" t="str">
        <f>IFERROR(IF(F13&gt;0,RANK(T13,T$7:T$102,0),""),"")</f>
        <v/>
      </c>
      <c r="V13" s="721"/>
      <c r="W13" s="720" t="str">
        <f>IFERROR(IF(F13&gt;0,RANK(V13,V$7:V$102,0),""),"")</f>
        <v/>
      </c>
      <c r="X13" s="759"/>
      <c r="Y13" s="759"/>
      <c r="Z13" s="759"/>
      <c r="AA13" s="760"/>
      <c r="AB13" s="179" t="str">
        <f t="shared" si="0"/>
        <v/>
      </c>
      <c r="AC13" s="179" t="str">
        <f t="shared" si="1"/>
        <v/>
      </c>
    </row>
    <row r="14" spans="1:29" s="179" customFormat="1" ht="12">
      <c r="A14" s="168"/>
      <c r="B14" s="168"/>
      <c r="C14" s="168"/>
      <c r="D14" s="168"/>
      <c r="E14" s="168"/>
      <c r="F14" s="719"/>
      <c r="G14" s="720" t="str">
        <f>IFERROR(RANK(F14,F$7:F$102),"")</f>
        <v/>
      </c>
      <c r="H14" s="721"/>
      <c r="I14" s="720" t="str">
        <f>IFERROR(RANK(H14,H$7:H$102),"")</f>
        <v/>
      </c>
      <c r="J14" s="721"/>
      <c r="K14" s="720"/>
      <c r="L14" s="721"/>
      <c r="M14" s="720" t="str">
        <f>IFERROR(RANK(L14,L$7:L$102),"")</f>
        <v/>
      </c>
      <c r="N14" s="719"/>
      <c r="O14" s="720" t="str">
        <f>IFERROR(RANK(N14,N$7:N$102),"")</f>
        <v/>
      </c>
      <c r="P14" s="721"/>
      <c r="Q14" s="720" t="str">
        <f>IFERROR(IF(F14&gt;0,RANK(P14,P$7:P$102,1),""),"")</f>
        <v/>
      </c>
      <c r="R14" s="721"/>
      <c r="S14" s="720" t="str">
        <f>IFERROR(RANK(R14,R$7:R$102),"")</f>
        <v/>
      </c>
      <c r="T14" s="721"/>
      <c r="U14" s="720" t="str">
        <f>IFERROR(IF(F14&gt;0,RANK(T14,T$7:T$102,0),""),"")</f>
        <v/>
      </c>
      <c r="V14" s="721"/>
      <c r="W14" s="720" t="str">
        <f>IFERROR(IF(F14&gt;0,RANK(V14,V$7:V$102,0),""),"")</f>
        <v/>
      </c>
      <c r="X14" s="811"/>
      <c r="Y14" s="811"/>
      <c r="Z14" s="811"/>
      <c r="AA14" s="812"/>
      <c r="AB14" s="179" t="str">
        <f t="shared" si="0"/>
        <v/>
      </c>
      <c r="AC14" s="179" t="str">
        <f t="shared" si="1"/>
        <v/>
      </c>
    </row>
    <row r="15" spans="1:29" s="179" customFormat="1" ht="12">
      <c r="A15" s="168"/>
      <c r="B15" s="168"/>
      <c r="C15" s="168"/>
      <c r="D15" s="168"/>
      <c r="E15" s="168"/>
      <c r="F15" s="719"/>
      <c r="G15" s="720" t="str">
        <f>IFERROR(RANK(F15,F$7:F$102),"")</f>
        <v/>
      </c>
      <c r="H15" s="721"/>
      <c r="I15" s="720" t="str">
        <f>IFERROR(RANK(H15,H$7:H$102),"")</f>
        <v/>
      </c>
      <c r="J15" s="721"/>
      <c r="K15" s="720"/>
      <c r="L15" s="721"/>
      <c r="M15" s="720" t="str">
        <f>IFERROR(RANK(L15,L$7:L$102),"")</f>
        <v/>
      </c>
      <c r="N15" s="719"/>
      <c r="O15" s="720" t="str">
        <f>IFERROR(RANK(N15,N$7:N$102),"")</f>
        <v/>
      </c>
      <c r="P15" s="721"/>
      <c r="Q15" s="720" t="str">
        <f>IFERROR(IF(F15&gt;0,RANK(P15,P$7:P$102,1),""),"")</f>
        <v/>
      </c>
      <c r="R15" s="721"/>
      <c r="S15" s="720" t="str">
        <f>IFERROR(RANK(R15,R$7:R$102),"")</f>
        <v/>
      </c>
      <c r="T15" s="721"/>
      <c r="U15" s="720" t="str">
        <f>IFERROR(IF(F15&gt;0,RANK(T15,T$7:T$102,0),""),"")</f>
        <v/>
      </c>
      <c r="V15" s="721"/>
      <c r="W15" s="720" t="str">
        <f>IFERROR(IF(F15&gt;0,RANK(V15,V$7:V$102,0),""),"")</f>
        <v/>
      </c>
      <c r="X15" s="759"/>
      <c r="Y15" s="759"/>
      <c r="Z15" s="759"/>
      <c r="AA15" s="760"/>
      <c r="AB15" s="179" t="str">
        <f t="shared" si="0"/>
        <v/>
      </c>
      <c r="AC15" s="179" t="str">
        <f t="shared" si="1"/>
        <v/>
      </c>
    </row>
    <row r="16" spans="1:29" s="179" customFormat="1" ht="12">
      <c r="A16" s="168"/>
      <c r="B16" s="168"/>
      <c r="C16" s="168"/>
      <c r="D16" s="168"/>
      <c r="E16" s="168"/>
      <c r="F16" s="719"/>
      <c r="G16" s="720" t="str">
        <f>IFERROR(RANK(F16,F$7:F$102),"")</f>
        <v/>
      </c>
      <c r="H16" s="721"/>
      <c r="I16" s="720" t="str">
        <f>IFERROR(RANK(H16,H$7:H$102),"")</f>
        <v/>
      </c>
      <c r="J16" s="721"/>
      <c r="K16" s="720"/>
      <c r="L16" s="721"/>
      <c r="M16" s="720" t="str">
        <f>IFERROR(RANK(L16,L$7:L$102),"")</f>
        <v/>
      </c>
      <c r="N16" s="719"/>
      <c r="O16" s="720" t="str">
        <f>IFERROR(RANK(N16,N$7:N$102),"")</f>
        <v/>
      </c>
      <c r="P16" s="721"/>
      <c r="Q16" s="720" t="str">
        <f>IFERROR(IF(F16&gt;0,RANK(P16,P$7:P$102,1),""),"")</f>
        <v/>
      </c>
      <c r="R16" s="721"/>
      <c r="S16" s="720" t="str">
        <f>IFERROR(RANK(R16,R$7:R$102),"")</f>
        <v/>
      </c>
      <c r="T16" s="721"/>
      <c r="U16" s="720" t="str">
        <f>IFERROR(IF(F16&gt;0,RANK(T16,T$7:T$102,0),""),"")</f>
        <v/>
      </c>
      <c r="V16" s="721"/>
      <c r="W16" s="720" t="str">
        <f>IFERROR(IF(F16&gt;0,RANK(V16,V$7:V$102,0),""),"")</f>
        <v/>
      </c>
      <c r="X16" s="759"/>
      <c r="Y16" s="759"/>
      <c r="Z16" s="759"/>
      <c r="AA16" s="760"/>
      <c r="AB16" s="179" t="str">
        <f t="shared" si="0"/>
        <v/>
      </c>
      <c r="AC16" s="179" t="str">
        <f t="shared" si="1"/>
        <v/>
      </c>
    </row>
    <row r="17" spans="1:29" s="179" customFormat="1" ht="12">
      <c r="A17" s="168"/>
      <c r="B17" s="168"/>
      <c r="C17" s="168"/>
      <c r="D17" s="168"/>
      <c r="E17" s="168"/>
      <c r="F17" s="719"/>
      <c r="G17" s="720" t="str">
        <f>IFERROR(RANK(F17,F$7:F$102),"")</f>
        <v/>
      </c>
      <c r="H17" s="721"/>
      <c r="I17" s="720" t="str">
        <f>IFERROR(RANK(H17,H$7:H$102),"")</f>
        <v/>
      </c>
      <c r="J17" s="721"/>
      <c r="K17" s="720"/>
      <c r="L17" s="721"/>
      <c r="M17" s="720" t="str">
        <f>IFERROR(RANK(L17,L$7:L$102),"")</f>
        <v/>
      </c>
      <c r="N17" s="719"/>
      <c r="O17" s="720" t="str">
        <f>IFERROR(RANK(N17,N$7:N$102),"")</f>
        <v/>
      </c>
      <c r="P17" s="721"/>
      <c r="Q17" s="720" t="str">
        <f>IFERROR(IF(F17&gt;0,RANK(P17,P$7:P$102,1),""),"")</f>
        <v/>
      </c>
      <c r="R17" s="721"/>
      <c r="S17" s="720" t="str">
        <f>IFERROR(RANK(R17,R$7:R$102),"")</f>
        <v/>
      </c>
      <c r="T17" s="721"/>
      <c r="U17" s="720" t="str">
        <f>IFERROR(IF(F17&gt;0,RANK(T17,T$7:T$102,0),""),"")</f>
        <v/>
      </c>
      <c r="V17" s="721"/>
      <c r="W17" s="720" t="str">
        <f>IFERROR(IF(F17&gt;0,RANK(V17,V$7:V$102,0),""),"")</f>
        <v/>
      </c>
      <c r="X17" s="759"/>
      <c r="Y17" s="759"/>
      <c r="Z17" s="759"/>
      <c r="AA17" s="760"/>
      <c r="AB17" s="179" t="str">
        <f t="shared" si="0"/>
        <v/>
      </c>
      <c r="AC17" s="179" t="str">
        <f t="shared" si="1"/>
        <v/>
      </c>
    </row>
    <row r="18" spans="1:29" s="179" customFormat="1" ht="12">
      <c r="A18" s="168"/>
      <c r="B18" s="168"/>
      <c r="C18" s="726"/>
      <c r="D18" s="168"/>
      <c r="E18" s="168"/>
      <c r="F18" s="719"/>
      <c r="G18" s="720" t="str">
        <f>IFERROR(RANK(F18,F$7:F$102),"")</f>
        <v/>
      </c>
      <c r="H18" s="721"/>
      <c r="I18" s="720" t="str">
        <f>IFERROR(RANK(H18,H$7:H$102),"")</f>
        <v/>
      </c>
      <c r="J18" s="721"/>
      <c r="K18" s="720"/>
      <c r="L18" s="721"/>
      <c r="M18" s="720" t="str">
        <f>IFERROR(RANK(L18,L$7:L$102),"")</f>
        <v/>
      </c>
      <c r="N18" s="719"/>
      <c r="O18" s="720" t="str">
        <f>IFERROR(RANK(N18,N$7:N$102),"")</f>
        <v/>
      </c>
      <c r="P18" s="721"/>
      <c r="Q18" s="720" t="str">
        <f>IFERROR(IF(F18&gt;0,RANK(P18,P$7:P$102,1),""),"")</f>
        <v/>
      </c>
      <c r="R18" s="721"/>
      <c r="S18" s="720" t="str">
        <f>IFERROR(RANK(R18,R$7:R$102),"")</f>
        <v/>
      </c>
      <c r="T18" s="721"/>
      <c r="U18" s="720" t="str">
        <f>IFERROR(IF(F18&gt;0,RANK(T18,T$7:T$102,0),""),"")</f>
        <v/>
      </c>
      <c r="V18" s="721"/>
      <c r="W18" s="720" t="str">
        <f>IFERROR(IF(F18&gt;0,RANK(V18,V$7:V$102,0),""),"")</f>
        <v/>
      </c>
      <c r="X18" s="759"/>
      <c r="Y18" s="759"/>
      <c r="Z18" s="759"/>
      <c r="AA18" s="760"/>
      <c r="AB18" s="179" t="str">
        <f t="shared" si="0"/>
        <v/>
      </c>
      <c r="AC18" s="179" t="str">
        <f t="shared" si="1"/>
        <v/>
      </c>
    </row>
    <row r="19" spans="1:29" s="179" customFormat="1" ht="12">
      <c r="A19" s="168"/>
      <c r="B19" s="168"/>
      <c r="C19" s="168"/>
      <c r="D19" s="168"/>
      <c r="E19" s="168"/>
      <c r="F19" s="719"/>
      <c r="G19" s="720" t="str">
        <f>IFERROR(RANK(F19,F$7:F$102),"")</f>
        <v/>
      </c>
      <c r="H19" s="721"/>
      <c r="I19" s="720" t="str">
        <f>IFERROR(RANK(H19,H$7:H$102),"")</f>
        <v/>
      </c>
      <c r="J19" s="721"/>
      <c r="K19" s="720"/>
      <c r="L19" s="721"/>
      <c r="M19" s="720" t="str">
        <f>IFERROR(RANK(L19,L$7:L$102),"")</f>
        <v/>
      </c>
      <c r="N19" s="719"/>
      <c r="O19" s="720" t="str">
        <f>IFERROR(RANK(N19,N$7:N$102),"")</f>
        <v/>
      </c>
      <c r="P19" s="721"/>
      <c r="Q19" s="720" t="str">
        <f>IFERROR(IF(F19&gt;0,RANK(P19,P$7:P$102,1),""),"")</f>
        <v/>
      </c>
      <c r="R19" s="721"/>
      <c r="S19" s="720" t="str">
        <f>IFERROR(RANK(R19,R$7:R$102),"")</f>
        <v/>
      </c>
      <c r="T19" s="721"/>
      <c r="U19" s="720" t="str">
        <f>IFERROR(IF(F19&gt;0,RANK(T19,T$7:T$102,0),""),"")</f>
        <v/>
      </c>
      <c r="V19" s="721"/>
      <c r="W19" s="720" t="str">
        <f>IFERROR(IF(F19&gt;0,RANK(V19,V$7:V$102,0),""),"")</f>
        <v/>
      </c>
      <c r="X19" s="759"/>
      <c r="Y19" s="759"/>
      <c r="Z19" s="759"/>
      <c r="AA19" s="760"/>
      <c r="AB19" s="179" t="str">
        <f t="shared" si="0"/>
        <v/>
      </c>
      <c r="AC19" s="179" t="str">
        <f t="shared" si="1"/>
        <v/>
      </c>
    </row>
    <row r="20" spans="1:29" s="179" customFormat="1" ht="12">
      <c r="A20" s="168"/>
      <c r="B20" s="168"/>
      <c r="C20" s="168"/>
      <c r="D20" s="168"/>
      <c r="E20" s="168"/>
      <c r="F20" s="719"/>
      <c r="G20" s="720" t="str">
        <f>IFERROR(RANK(F20,F$7:F$102),"")</f>
        <v/>
      </c>
      <c r="H20" s="721"/>
      <c r="I20" s="720" t="str">
        <f>IFERROR(RANK(H20,H$7:H$102),"")</f>
        <v/>
      </c>
      <c r="J20" s="721"/>
      <c r="K20" s="720"/>
      <c r="L20" s="721"/>
      <c r="M20" s="720" t="str">
        <f>IFERROR(RANK(L20,L$7:L$102),"")</f>
        <v/>
      </c>
      <c r="N20" s="719"/>
      <c r="O20" s="720" t="str">
        <f>IFERROR(RANK(N20,N$7:N$102),"")</f>
        <v/>
      </c>
      <c r="P20" s="721"/>
      <c r="Q20" s="720" t="str">
        <f>IFERROR(IF(F20&gt;0,RANK(P20,P$7:P$102,1),""),"")</f>
        <v/>
      </c>
      <c r="R20" s="721"/>
      <c r="S20" s="720" t="str">
        <f>IFERROR(RANK(R20,R$7:R$102),"")</f>
        <v/>
      </c>
      <c r="T20" s="721"/>
      <c r="U20" s="720" t="str">
        <f>IFERROR(IF(F20&gt;0,RANK(T20,T$7:T$102,0),""),"")</f>
        <v/>
      </c>
      <c r="V20" s="721"/>
      <c r="W20" s="720" t="str">
        <f>IFERROR(IF(F20&gt;0,RANK(V20,V$7:V$102,0),""),"")</f>
        <v/>
      </c>
      <c r="X20" s="759"/>
      <c r="Y20" s="759"/>
      <c r="Z20" s="759"/>
      <c r="AA20" s="760"/>
      <c r="AB20" s="179" t="str">
        <f t="shared" si="0"/>
        <v/>
      </c>
      <c r="AC20" s="179" t="str">
        <f t="shared" si="1"/>
        <v/>
      </c>
    </row>
    <row r="21" spans="1:29" s="179" customFormat="1" ht="12">
      <c r="A21" s="168"/>
      <c r="B21" s="168"/>
      <c r="C21" s="726"/>
      <c r="D21" s="168"/>
      <c r="E21" s="168"/>
      <c r="F21" s="719"/>
      <c r="G21" s="720" t="str">
        <f>IFERROR(RANK(F21,F$7:F$102),"")</f>
        <v/>
      </c>
      <c r="H21" s="721"/>
      <c r="I21" s="720" t="str">
        <f>IFERROR(RANK(H21,H$7:H$102),"")</f>
        <v/>
      </c>
      <c r="J21" s="721"/>
      <c r="K21" s="720"/>
      <c r="L21" s="721"/>
      <c r="M21" s="720" t="str">
        <f>IFERROR(RANK(L21,L$7:L$102),"")</f>
        <v/>
      </c>
      <c r="N21" s="719"/>
      <c r="O21" s="720" t="str">
        <f>IFERROR(RANK(N21,N$7:N$102),"")</f>
        <v/>
      </c>
      <c r="P21" s="721"/>
      <c r="Q21" s="720" t="str">
        <f>IFERROR(IF(F21&gt;0,RANK(P21,P$7:P$102,1),""),"")</f>
        <v/>
      </c>
      <c r="R21" s="721"/>
      <c r="S21" s="720" t="str">
        <f>IFERROR(RANK(R21,R$7:R$102),"")</f>
        <v/>
      </c>
      <c r="T21" s="721"/>
      <c r="U21" s="720" t="str">
        <f>IFERROR(IF(F21&gt;0,RANK(T21,T$7:T$102,0),""),"")</f>
        <v/>
      </c>
      <c r="V21" s="721"/>
      <c r="W21" s="720" t="str">
        <f>IFERROR(IF(F21&gt;0,RANK(V21,V$7:V$102,0),""),"")</f>
        <v/>
      </c>
      <c r="X21" s="759"/>
      <c r="Y21" s="759"/>
      <c r="Z21" s="759"/>
      <c r="AA21" s="760"/>
      <c r="AB21" s="179" t="str">
        <f t="shared" si="0"/>
        <v/>
      </c>
      <c r="AC21" s="179" t="str">
        <f t="shared" si="1"/>
        <v/>
      </c>
    </row>
    <row r="22" spans="1:29" s="179" customFormat="1" ht="12">
      <c r="A22" s="168"/>
      <c r="B22" s="168"/>
      <c r="F22" s="381"/>
      <c r="G22" s="228" t="str">
        <f>IFERROR(RANK(F22,F$7:F$102),"")</f>
        <v/>
      </c>
      <c r="H22" s="379"/>
      <c r="I22" s="228" t="str">
        <f>IFERROR(RANK(H22,H$7:H$102),"")</f>
        <v/>
      </c>
      <c r="J22" s="379"/>
      <c r="K22" s="228"/>
      <c r="L22" s="379"/>
      <c r="M22" s="228" t="str">
        <f>IFERROR(RANK(L22,L$7:L$102),"")</f>
        <v/>
      </c>
      <c r="N22" s="381"/>
      <c r="O22" s="228" t="str">
        <f>IFERROR(RANK(N22,N$7:N$102),"")</f>
        <v/>
      </c>
      <c r="P22" s="379"/>
      <c r="Q22" s="228" t="str">
        <f>IFERROR(IF(F22&gt;0,RANK(P22,P$7:P$102,1),""),"")</f>
        <v/>
      </c>
      <c r="R22" s="379"/>
      <c r="S22" s="228" t="str">
        <f>IFERROR(RANK(R22,R$7:R$102),"")</f>
        <v/>
      </c>
      <c r="T22" s="379"/>
      <c r="U22" s="228" t="str">
        <f>IFERROR(IF(F22&gt;0,RANK(T22,T$7:T$102,0),""),"")</f>
        <v/>
      </c>
      <c r="V22" s="379"/>
      <c r="W22" s="228" t="str">
        <f>IFERROR(IF(F22&gt;0,RANK(V22,V$7:V$102,0),""),"")</f>
        <v/>
      </c>
      <c r="X22" s="759"/>
      <c r="Y22" s="759"/>
      <c r="Z22" s="759"/>
      <c r="AA22" s="760"/>
      <c r="AB22" s="179" t="str">
        <f t="shared" si="0"/>
        <v/>
      </c>
      <c r="AC22" s="179" t="str">
        <f t="shared" si="1"/>
        <v/>
      </c>
    </row>
    <row r="23" spans="1:29" s="179" customFormat="1" ht="12">
      <c r="A23" s="168"/>
      <c r="B23" s="168"/>
      <c r="C23" s="168"/>
      <c r="D23" s="168"/>
      <c r="E23" s="168"/>
      <c r="F23" s="719"/>
      <c r="G23" s="720" t="str">
        <f>IFERROR(RANK(F23,F$7:F$102),"")</f>
        <v/>
      </c>
      <c r="H23" s="721"/>
      <c r="I23" s="720" t="str">
        <f>IFERROR(RANK(H23,H$7:H$102),"")</f>
        <v/>
      </c>
      <c r="J23" s="721"/>
      <c r="K23" s="720"/>
      <c r="L23" s="721"/>
      <c r="M23" s="720" t="str">
        <f>IFERROR(RANK(L23,L$7:L$102),"")</f>
        <v/>
      </c>
      <c r="N23" s="719"/>
      <c r="O23" s="720" t="str">
        <f>IFERROR(RANK(N23,N$7:N$102),"")</f>
        <v/>
      </c>
      <c r="P23" s="721"/>
      <c r="Q23" s="720" t="str">
        <f>IFERROR(IF(F23&gt;0,RANK(P23,P$7:P$102,1),""),"")</f>
        <v/>
      </c>
      <c r="R23" s="721"/>
      <c r="S23" s="720" t="str">
        <f>IFERROR(RANK(R23,R$7:R$102),"")</f>
        <v/>
      </c>
      <c r="T23" s="721"/>
      <c r="U23" s="720" t="str">
        <f>IFERROR(IF(F23&gt;0,RANK(T23,T$7:T$102,0),""),"")</f>
        <v/>
      </c>
      <c r="V23" s="721"/>
      <c r="W23" s="720" t="str">
        <f>IFERROR(IF(F23&gt;0,RANK(V23,V$7:V$102,0),""),"")</f>
        <v/>
      </c>
      <c r="X23" s="759"/>
      <c r="Y23" s="759"/>
      <c r="Z23" s="759"/>
      <c r="AA23" s="760"/>
      <c r="AB23" s="179" t="str">
        <f t="shared" si="0"/>
        <v/>
      </c>
      <c r="AC23" s="179" t="str">
        <f t="shared" si="1"/>
        <v/>
      </c>
    </row>
    <row r="24" spans="1:29" s="179" customFormat="1" ht="12">
      <c r="C24" s="168"/>
      <c r="D24" s="168"/>
      <c r="E24" s="168"/>
      <c r="F24" s="719"/>
      <c r="G24" s="720" t="str">
        <f>IFERROR(RANK(F24,F$7:F$102),"")</f>
        <v/>
      </c>
      <c r="H24" s="721"/>
      <c r="I24" s="720" t="str">
        <f>IFERROR(RANK(H24,H$7:H$102),"")</f>
        <v/>
      </c>
      <c r="J24" s="721"/>
      <c r="K24" s="720"/>
      <c r="L24" s="721"/>
      <c r="M24" s="720" t="str">
        <f>IFERROR(RANK(L24,L$7:L$102),"")</f>
        <v/>
      </c>
      <c r="N24" s="719"/>
      <c r="O24" s="720" t="str">
        <f>IFERROR(RANK(N24,N$7:N$102),"")</f>
        <v/>
      </c>
      <c r="P24" s="721"/>
      <c r="Q24" s="720" t="str">
        <f>IFERROR(IF(F24&gt;0,RANK(P24,P$7:P$102,1),""),"")</f>
        <v/>
      </c>
      <c r="R24" s="721"/>
      <c r="S24" s="720" t="str">
        <f>IFERROR(RANK(R24,R$7:R$102),"")</f>
        <v/>
      </c>
      <c r="T24" s="721"/>
      <c r="U24" s="720" t="str">
        <f>IFERROR(IF(F24&gt;0,RANK(T24,T$7:T$102,0),""),"")</f>
        <v/>
      </c>
      <c r="V24" s="721"/>
      <c r="W24" s="720" t="str">
        <f>IFERROR(IF(F24&gt;0,RANK(V24,V$7:V$102,0),""),"")</f>
        <v/>
      </c>
      <c r="X24" s="759"/>
      <c r="Y24" s="759"/>
      <c r="Z24" s="759"/>
      <c r="AA24" s="760"/>
      <c r="AB24" s="179" t="str">
        <f t="shared" si="0"/>
        <v/>
      </c>
      <c r="AC24" s="179" t="str">
        <f t="shared" si="1"/>
        <v/>
      </c>
    </row>
    <row r="25" spans="1:29" s="179" customFormat="1" ht="12">
      <c r="C25" s="168"/>
      <c r="D25" s="168"/>
      <c r="E25" s="168"/>
      <c r="F25" s="719"/>
      <c r="G25" s="720" t="str">
        <f>IFERROR(RANK(F25,F$7:F$102),"")</f>
        <v/>
      </c>
      <c r="H25" s="721"/>
      <c r="I25" s="720" t="str">
        <f>IFERROR(RANK(H25,H$7:H$102),"")</f>
        <v/>
      </c>
      <c r="J25" s="721"/>
      <c r="K25" s="720"/>
      <c r="L25" s="721"/>
      <c r="M25" s="720" t="str">
        <f>IFERROR(RANK(L25,L$7:L$102),"")</f>
        <v/>
      </c>
      <c r="N25" s="719"/>
      <c r="O25" s="720" t="str">
        <f>IFERROR(RANK(N25,N$7:N$102),"")</f>
        <v/>
      </c>
      <c r="P25" s="721"/>
      <c r="Q25" s="720" t="str">
        <f>IFERROR(IF(F25&gt;0,RANK(P25,P$7:P$102,1),""),"")</f>
        <v/>
      </c>
      <c r="R25" s="721"/>
      <c r="S25" s="720" t="str">
        <f>IFERROR(RANK(R25,R$7:R$102),"")</f>
        <v/>
      </c>
      <c r="T25" s="721"/>
      <c r="U25" s="720" t="str">
        <f>IFERROR(IF(F25&gt;0,RANK(T25,T$7:T$102,0),""),"")</f>
        <v/>
      </c>
      <c r="V25" s="721"/>
      <c r="W25" s="720" t="str">
        <f>IFERROR(IF(F25&gt;0,RANK(V25,V$7:V$102,0),""),"")</f>
        <v/>
      </c>
      <c r="X25" s="759"/>
      <c r="Y25" s="759"/>
      <c r="Z25" s="759"/>
      <c r="AA25" s="760"/>
      <c r="AB25" s="179" t="str">
        <f t="shared" si="0"/>
        <v/>
      </c>
      <c r="AC25" s="179" t="str">
        <f t="shared" si="1"/>
        <v/>
      </c>
    </row>
    <row r="26" spans="1:29" s="179" customFormat="1" ht="12">
      <c r="C26" s="168"/>
      <c r="D26" s="168"/>
      <c r="E26" s="168"/>
      <c r="F26" s="719"/>
      <c r="G26" s="720" t="str">
        <f>IFERROR(RANK(F26,F$7:F$102),"")</f>
        <v/>
      </c>
      <c r="H26" s="721"/>
      <c r="I26" s="720" t="str">
        <f>IFERROR(RANK(H26,H$7:H$102),"")</f>
        <v/>
      </c>
      <c r="J26" s="721"/>
      <c r="K26" s="720"/>
      <c r="L26" s="721"/>
      <c r="M26" s="720" t="str">
        <f>IFERROR(RANK(L26,L$7:L$102),"")</f>
        <v/>
      </c>
      <c r="N26" s="719"/>
      <c r="O26" s="720" t="str">
        <f>IFERROR(RANK(N26,N$7:N$102),"")</f>
        <v/>
      </c>
      <c r="P26" s="721"/>
      <c r="Q26" s="720" t="str">
        <f>IFERROR(IF(F26&gt;0,RANK(P26,P$7:P$102,1),""),"")</f>
        <v/>
      </c>
      <c r="R26" s="721"/>
      <c r="S26" s="720" t="str">
        <f>IFERROR(RANK(R26,R$7:R$102),"")</f>
        <v/>
      </c>
      <c r="T26" s="721"/>
      <c r="U26" s="720" t="str">
        <f>IFERROR(IF(F26&gt;0,RANK(T26,T$7:T$102,0),""),"")</f>
        <v/>
      </c>
      <c r="V26" s="721"/>
      <c r="W26" s="720" t="str">
        <f>IFERROR(IF(F26&gt;0,RANK(V26,V$7:V$102,0),""),"")</f>
        <v/>
      </c>
      <c r="X26" s="759"/>
      <c r="Y26" s="759"/>
      <c r="Z26" s="759"/>
      <c r="AA26" s="760"/>
      <c r="AB26" s="179" t="str">
        <f t="shared" si="0"/>
        <v/>
      </c>
      <c r="AC26" s="179" t="str">
        <f t="shared" si="1"/>
        <v/>
      </c>
    </row>
    <row r="27" spans="1:29" s="179" customFormat="1" ht="12">
      <c r="C27" s="726"/>
      <c r="D27" s="168"/>
      <c r="E27" s="168"/>
      <c r="F27" s="719"/>
      <c r="G27" s="720" t="str">
        <f>IFERROR(RANK(F27,F$7:F$102),"")</f>
        <v/>
      </c>
      <c r="H27" s="721"/>
      <c r="I27" s="720" t="str">
        <f>IFERROR(RANK(H27,H$7:H$102),"")</f>
        <v/>
      </c>
      <c r="J27" s="721"/>
      <c r="K27" s="720"/>
      <c r="L27" s="721"/>
      <c r="M27" s="720" t="str">
        <f>IFERROR(RANK(L27,L$7:L$102),"")</f>
        <v/>
      </c>
      <c r="N27" s="719"/>
      <c r="O27" s="720" t="str">
        <f>IFERROR(RANK(N27,N$7:N$102),"")</f>
        <v/>
      </c>
      <c r="P27" s="721"/>
      <c r="Q27" s="720" t="str">
        <f>IFERROR(IF(F27&gt;0,RANK(P27,P$7:P$102,1),""),"")</f>
        <v/>
      </c>
      <c r="R27" s="721"/>
      <c r="S27" s="720" t="str">
        <f>IFERROR(RANK(R27,R$7:R$102),"")</f>
        <v/>
      </c>
      <c r="T27" s="721"/>
      <c r="U27" s="720" t="str">
        <f>IFERROR(IF(F27&gt;0,RANK(T27,T$7:T$102,0),""),"")</f>
        <v/>
      </c>
      <c r="V27" s="721"/>
      <c r="W27" s="720" t="str">
        <f>IFERROR(IF(F27&gt;0,RANK(V27,V$7:V$102,0),""),"")</f>
        <v/>
      </c>
      <c r="X27" s="759"/>
      <c r="Y27" s="759"/>
      <c r="Z27" s="759"/>
      <c r="AA27" s="760"/>
      <c r="AB27" s="179" t="str">
        <f t="shared" si="0"/>
        <v/>
      </c>
      <c r="AC27" s="179" t="str">
        <f t="shared" si="1"/>
        <v/>
      </c>
    </row>
    <row r="28" spans="1:29" s="179" customFormat="1" ht="12">
      <c r="C28" s="168"/>
      <c r="D28" s="168"/>
      <c r="E28" s="168"/>
      <c r="F28" s="719"/>
      <c r="G28" s="720" t="str">
        <f>IFERROR(RANK(F28,F$7:F$102),"")</f>
        <v/>
      </c>
      <c r="H28" s="721"/>
      <c r="I28" s="720" t="str">
        <f>IFERROR(RANK(H28,H$7:H$102),"")</f>
        <v/>
      </c>
      <c r="J28" s="721"/>
      <c r="K28" s="720"/>
      <c r="L28" s="721"/>
      <c r="M28" s="720" t="str">
        <f>IFERROR(RANK(L28,L$7:L$102),"")</f>
        <v/>
      </c>
      <c r="N28" s="719"/>
      <c r="O28" s="720" t="str">
        <f>IFERROR(RANK(N28,N$7:N$102),"")</f>
        <v/>
      </c>
      <c r="P28" s="721"/>
      <c r="Q28" s="720" t="str">
        <f>IFERROR(IF(F28&gt;0,RANK(P28,P$7:P$102,1),""),"")</f>
        <v/>
      </c>
      <c r="R28" s="721"/>
      <c r="S28" s="720" t="str">
        <f>IFERROR(RANK(R28,R$7:R$102),"")</f>
        <v/>
      </c>
      <c r="T28" s="721"/>
      <c r="U28" s="720" t="str">
        <f>IFERROR(IF(F28&gt;0,RANK(T28,T$7:T$102,0),""),"")</f>
        <v/>
      </c>
      <c r="V28" s="721"/>
      <c r="W28" s="720" t="str">
        <f>IFERROR(IF(F28&gt;0,RANK(V28,V$7:V$102,0),""),"")</f>
        <v/>
      </c>
      <c r="X28" s="759"/>
      <c r="Y28" s="759"/>
      <c r="Z28" s="759"/>
      <c r="AA28" s="760"/>
      <c r="AB28" s="179" t="str">
        <f t="shared" si="0"/>
        <v/>
      </c>
      <c r="AC28" s="179" t="str">
        <f t="shared" si="1"/>
        <v/>
      </c>
    </row>
    <row r="29" spans="1:29" s="179" customFormat="1" ht="12">
      <c r="C29" s="168"/>
      <c r="D29" s="168"/>
      <c r="E29" s="168"/>
      <c r="F29" s="719"/>
      <c r="G29" s="720" t="str">
        <f>IFERROR(RANK(F29,F$7:F$102),"")</f>
        <v/>
      </c>
      <c r="H29" s="721"/>
      <c r="I29" s="720" t="str">
        <f>IFERROR(RANK(H29,H$7:H$102),"")</f>
        <v/>
      </c>
      <c r="J29" s="721"/>
      <c r="K29" s="720"/>
      <c r="L29" s="721"/>
      <c r="M29" s="720" t="str">
        <f>IFERROR(RANK(L29,L$7:L$102),"")</f>
        <v/>
      </c>
      <c r="N29" s="719"/>
      <c r="O29" s="720" t="str">
        <f>IFERROR(RANK(N29,N$7:N$102),"")</f>
        <v/>
      </c>
      <c r="P29" s="721"/>
      <c r="Q29" s="720" t="str">
        <f>IFERROR(IF(F29&gt;0,RANK(P29,P$7:P$102,1),""),"")</f>
        <v/>
      </c>
      <c r="R29" s="721"/>
      <c r="S29" s="720" t="str">
        <f>IFERROR(RANK(R29,R$7:R$102),"")</f>
        <v/>
      </c>
      <c r="T29" s="721"/>
      <c r="U29" s="720" t="str">
        <f>IFERROR(IF(F29&gt;0,RANK(T29,T$7:T$102,0),""),"")</f>
        <v/>
      </c>
      <c r="V29" s="721"/>
      <c r="W29" s="720" t="str">
        <f>IFERROR(IF(F29&gt;0,RANK(V29,V$7:V$102,0),""),"")</f>
        <v/>
      </c>
      <c r="X29" s="759"/>
      <c r="Y29" s="759"/>
      <c r="Z29" s="759"/>
      <c r="AA29" s="760"/>
      <c r="AB29" s="179" t="str">
        <f t="shared" si="0"/>
        <v/>
      </c>
      <c r="AC29" s="179" t="str">
        <f t="shared" si="1"/>
        <v/>
      </c>
    </row>
    <row r="30" spans="1:29" s="179" customFormat="1" ht="12">
      <c r="C30" s="168"/>
      <c r="D30" s="168"/>
      <c r="E30" s="168"/>
      <c r="F30" s="719"/>
      <c r="G30" s="720" t="str">
        <f>IFERROR(RANK(F30,F$7:F$102),"")</f>
        <v/>
      </c>
      <c r="H30" s="721"/>
      <c r="I30" s="720" t="str">
        <f>IFERROR(RANK(H30,H$7:H$102),"")</f>
        <v/>
      </c>
      <c r="J30" s="721"/>
      <c r="K30" s="720"/>
      <c r="L30" s="721"/>
      <c r="M30" s="720" t="str">
        <f>IFERROR(RANK(L30,L$7:L$102),"")</f>
        <v/>
      </c>
      <c r="N30" s="719"/>
      <c r="O30" s="720" t="str">
        <f>IFERROR(RANK(N30,N$7:N$102),"")</f>
        <v/>
      </c>
      <c r="P30" s="721"/>
      <c r="Q30" s="720" t="str">
        <f>IFERROR(IF(F30&gt;0,RANK(P30,P$7:P$102,1),""),"")</f>
        <v/>
      </c>
      <c r="R30" s="721"/>
      <c r="S30" s="720" t="str">
        <f>IFERROR(RANK(R30,R$7:R$102),"")</f>
        <v/>
      </c>
      <c r="T30" s="721"/>
      <c r="U30" s="720" t="str">
        <f>IFERROR(IF(F30&gt;0,RANK(T30,T$7:T$102,0),""),"")</f>
        <v/>
      </c>
      <c r="V30" s="721"/>
      <c r="W30" s="720" t="str">
        <f>IFERROR(IF(F30&gt;0,RANK(V30,V$7:V$102,0),""),"")</f>
        <v/>
      </c>
      <c r="X30" s="759"/>
      <c r="Y30" s="759"/>
      <c r="Z30" s="759"/>
      <c r="AA30" s="760"/>
      <c r="AB30" s="179" t="str">
        <f t="shared" si="0"/>
        <v/>
      </c>
      <c r="AC30" s="179" t="str">
        <f t="shared" si="1"/>
        <v/>
      </c>
    </row>
    <row r="31" spans="1:29" s="179" customFormat="1" ht="12">
      <c r="C31" s="168"/>
      <c r="D31" s="168"/>
      <c r="E31" s="168"/>
      <c r="F31" s="719"/>
      <c r="G31" s="720" t="str">
        <f>IFERROR(RANK(F31,F$7:F$102),"")</f>
        <v/>
      </c>
      <c r="H31" s="721"/>
      <c r="I31" s="720" t="str">
        <f>IFERROR(RANK(H31,H$7:H$102),"")</f>
        <v/>
      </c>
      <c r="J31" s="721"/>
      <c r="K31" s="720"/>
      <c r="L31" s="721"/>
      <c r="M31" s="720" t="str">
        <f>IFERROR(RANK(L31,L$7:L$102),"")</f>
        <v/>
      </c>
      <c r="N31" s="719"/>
      <c r="O31" s="720" t="str">
        <f>IFERROR(RANK(N31,N$7:N$102),"")</f>
        <v/>
      </c>
      <c r="P31" s="721"/>
      <c r="Q31" s="720" t="str">
        <f>IFERROR(IF(F31&gt;0,RANK(P31,P$7:P$102,1),""),"")</f>
        <v/>
      </c>
      <c r="R31" s="721"/>
      <c r="S31" s="720" t="str">
        <f>IFERROR(RANK(R31,R$7:R$102),"")</f>
        <v/>
      </c>
      <c r="T31" s="721"/>
      <c r="U31" s="720" t="str">
        <f>IFERROR(IF(F31&gt;0,RANK(T31,T$7:T$102,0),""),"")</f>
        <v/>
      </c>
      <c r="V31" s="721"/>
      <c r="W31" s="720" t="str">
        <f>IFERROR(IF(F31&gt;0,RANK(V31,V$7:V$102,0),""),"")</f>
        <v/>
      </c>
      <c r="X31" s="759"/>
      <c r="Y31" s="759"/>
      <c r="Z31" s="759"/>
      <c r="AA31" s="760"/>
      <c r="AB31" s="179" t="str">
        <f t="shared" si="0"/>
        <v/>
      </c>
      <c r="AC31" s="179" t="str">
        <f t="shared" si="1"/>
        <v/>
      </c>
    </row>
    <row r="32" spans="1:29" s="179" customFormat="1" ht="12">
      <c r="F32" s="381"/>
      <c r="G32" s="228" t="str">
        <f>IFERROR(RANK(F32,F$7:F$102),"")</f>
        <v/>
      </c>
      <c r="H32" s="379"/>
      <c r="I32" s="228" t="str">
        <f>IFERROR(RANK(H32,H$7:H$102),"")</f>
        <v/>
      </c>
      <c r="J32" s="379"/>
      <c r="K32" s="228"/>
      <c r="L32" s="379"/>
      <c r="M32" s="228" t="str">
        <f>IFERROR(RANK(L32,L$7:L$102),"")</f>
        <v/>
      </c>
      <c r="N32" s="381"/>
      <c r="O32" s="228" t="str">
        <f>IFERROR(RANK(N32,N$7:N$102),"")</f>
        <v/>
      </c>
      <c r="P32" s="379"/>
      <c r="Q32" s="228" t="str">
        <f>IFERROR(IF(F32&gt;0,RANK(P32,P$7:P$102,1),""),"")</f>
        <v/>
      </c>
      <c r="R32" s="379"/>
      <c r="S32" s="228" t="str">
        <f>IFERROR(RANK(R32,R$7:R$102),"")</f>
        <v/>
      </c>
      <c r="T32" s="379"/>
      <c r="U32" s="228" t="str">
        <f>IFERROR(IF(F32&gt;0,RANK(T32,T$7:T$102,0),""),"")</f>
        <v/>
      </c>
      <c r="V32" s="379"/>
      <c r="W32" s="228" t="str">
        <f>IFERROR(IF(F32&gt;0,RANK(V32,V$7:V$102,0),""),"")</f>
        <v/>
      </c>
      <c r="X32" s="759"/>
      <c r="Y32" s="759"/>
      <c r="Z32" s="759"/>
      <c r="AA32" s="760"/>
      <c r="AB32" s="179" t="str">
        <f t="shared" si="0"/>
        <v/>
      </c>
      <c r="AC32" s="179" t="str">
        <f t="shared" si="1"/>
        <v/>
      </c>
    </row>
    <row r="33" spans="6:29" s="179" customFormat="1" ht="12">
      <c r="F33" s="381"/>
      <c r="G33" s="228" t="str">
        <f>IFERROR(RANK(F33,F$7:F$102),"")</f>
        <v/>
      </c>
      <c r="H33" s="379"/>
      <c r="I33" s="228" t="str">
        <f>IFERROR(RANK(H33,H$7:H$102),"")</f>
        <v/>
      </c>
      <c r="J33" s="379"/>
      <c r="K33" s="228"/>
      <c r="L33" s="379"/>
      <c r="M33" s="228" t="str">
        <f>IFERROR(RANK(L33,L$7:L$102),"")</f>
        <v/>
      </c>
      <c r="N33" s="381"/>
      <c r="O33" s="228" t="str">
        <f>IFERROR(RANK(N33,N$7:N$102),"")</f>
        <v/>
      </c>
      <c r="P33" s="379"/>
      <c r="Q33" s="228" t="str">
        <f>IFERROR(IF(F33&gt;0,RANK(P33,P$7:P$102,1),""),"")</f>
        <v/>
      </c>
      <c r="R33" s="379"/>
      <c r="S33" s="228" t="str">
        <f>IFERROR(RANK(R33,R$7:R$102),"")</f>
        <v/>
      </c>
      <c r="T33" s="379"/>
      <c r="U33" s="228" t="str">
        <f>IFERROR(IF(F33&gt;0,RANK(T33,T$7:T$102,0),""),"")</f>
        <v/>
      </c>
      <c r="V33" s="379"/>
      <c r="W33" s="228" t="str">
        <f>IFERROR(IF(F33&gt;0,RANK(V33,V$7:V$102,0),""),"")</f>
        <v/>
      </c>
      <c r="X33" s="759"/>
      <c r="Y33" s="759"/>
      <c r="Z33" s="759"/>
      <c r="AA33" s="760"/>
      <c r="AB33" s="179" t="str">
        <f t="shared" si="0"/>
        <v/>
      </c>
      <c r="AC33" s="179" t="str">
        <f t="shared" si="1"/>
        <v/>
      </c>
    </row>
    <row r="34" spans="6:29" s="179" customFormat="1" ht="12">
      <c r="F34" s="381"/>
      <c r="G34" s="228" t="str">
        <f>IFERROR(RANK(F34,F$7:F$102),"")</f>
        <v/>
      </c>
      <c r="H34" s="379"/>
      <c r="I34" s="228" t="str">
        <f>IFERROR(RANK(H34,H$7:H$102),"")</f>
        <v/>
      </c>
      <c r="J34" s="379"/>
      <c r="K34" s="228"/>
      <c r="L34" s="379"/>
      <c r="M34" s="228" t="str">
        <f>IFERROR(RANK(L34,L$7:L$102),"")</f>
        <v/>
      </c>
      <c r="N34" s="381"/>
      <c r="O34" s="228" t="str">
        <f>IFERROR(RANK(N34,N$7:N$102),"")</f>
        <v/>
      </c>
      <c r="P34" s="379"/>
      <c r="Q34" s="228" t="str">
        <f>IFERROR(IF(F34&gt;0,RANK(P34,P$7:P$102,1),""),"")</f>
        <v/>
      </c>
      <c r="R34" s="379"/>
      <c r="S34" s="228" t="str">
        <f>IFERROR(RANK(R34,R$7:R$102),"")</f>
        <v/>
      </c>
      <c r="T34" s="379"/>
      <c r="U34" s="228" t="str">
        <f>IFERROR(IF(F34&gt;0,RANK(T34,T$7:T$102,0),""),"")</f>
        <v/>
      </c>
      <c r="V34" s="379"/>
      <c r="W34" s="228" t="str">
        <f>IFERROR(IF(F34&gt;0,RANK(V34,V$7:V$102,0),""),"")</f>
        <v/>
      </c>
      <c r="X34" s="759"/>
      <c r="Y34" s="759"/>
      <c r="Z34" s="759"/>
      <c r="AA34" s="760"/>
      <c r="AB34" s="179" t="str">
        <f t="shared" si="0"/>
        <v/>
      </c>
      <c r="AC34" s="179" t="str">
        <f t="shared" si="1"/>
        <v/>
      </c>
    </row>
    <row r="35" spans="6:29" s="179" customFormat="1" ht="12">
      <c r="F35" s="381"/>
      <c r="G35" s="228" t="str">
        <f>IFERROR(RANK(F35,F$7:F$102),"")</f>
        <v/>
      </c>
      <c r="H35" s="379"/>
      <c r="I35" s="228" t="str">
        <f>IFERROR(RANK(H35,H$7:H$102),"")</f>
        <v/>
      </c>
      <c r="J35" s="379"/>
      <c r="K35" s="228"/>
      <c r="L35" s="379"/>
      <c r="M35" s="228" t="str">
        <f>IFERROR(RANK(L35,L$7:L$102),"")</f>
        <v/>
      </c>
      <c r="N35" s="381"/>
      <c r="O35" s="228" t="str">
        <f>IFERROR(RANK(N35,N$7:N$102),"")</f>
        <v/>
      </c>
      <c r="P35" s="379"/>
      <c r="Q35" s="228" t="str">
        <f>IFERROR(IF(F35&gt;0,RANK(P35,P$7:P$102,1),""),"")</f>
        <v/>
      </c>
      <c r="R35" s="379"/>
      <c r="S35" s="228" t="str">
        <f>IFERROR(RANK(R35,R$7:R$102),"")</f>
        <v/>
      </c>
      <c r="T35" s="379"/>
      <c r="U35" s="228" t="str">
        <f>IFERROR(IF(F35&gt;0,RANK(T35,T$7:T$102,0),""),"")</f>
        <v/>
      </c>
      <c r="V35" s="379"/>
      <c r="W35" s="228" t="str">
        <f>IFERROR(IF(F35&gt;0,RANK(V35,V$7:V$102,0),""),"")</f>
        <v/>
      </c>
      <c r="X35" s="759"/>
      <c r="Y35" s="759"/>
      <c r="Z35" s="759"/>
      <c r="AA35" s="760"/>
      <c r="AB35" s="179" t="str">
        <f t="shared" si="0"/>
        <v/>
      </c>
      <c r="AC35" s="179" t="str">
        <f t="shared" si="1"/>
        <v/>
      </c>
    </row>
    <row r="36" spans="6:29" s="179" customFormat="1" ht="12">
      <c r="F36" s="381"/>
      <c r="G36" s="228" t="str">
        <f>IFERROR(RANK(F36,F$7:F$102),"")</f>
        <v/>
      </c>
      <c r="H36" s="379"/>
      <c r="I36" s="228" t="str">
        <f>IFERROR(RANK(H36,H$7:H$102),"")</f>
        <v/>
      </c>
      <c r="J36" s="379"/>
      <c r="K36" s="228"/>
      <c r="L36" s="379"/>
      <c r="M36" s="228" t="str">
        <f>IFERROR(RANK(L36,L$7:L$102),"")</f>
        <v/>
      </c>
      <c r="N36" s="381"/>
      <c r="O36" s="228" t="str">
        <f>IFERROR(RANK(N36,N$7:N$102),"")</f>
        <v/>
      </c>
      <c r="P36" s="379"/>
      <c r="Q36" s="228" t="str">
        <f>IFERROR(IF(F36&gt;0,RANK(P36,P$7:P$102,1),""),"")</f>
        <v/>
      </c>
      <c r="R36" s="379"/>
      <c r="S36" s="228" t="str">
        <f>IFERROR(RANK(R36,R$7:R$102),"")</f>
        <v/>
      </c>
      <c r="T36" s="379"/>
      <c r="U36" s="228" t="str">
        <f>IFERROR(IF(F36&gt;0,RANK(T36,T$7:T$102,0),""),"")</f>
        <v/>
      </c>
      <c r="V36" s="379"/>
      <c r="W36" s="228" t="str">
        <f>IFERROR(IF(F36&gt;0,RANK(V36,V$7:V$102,0),""),"")</f>
        <v/>
      </c>
      <c r="X36" s="759"/>
      <c r="Y36" s="759"/>
      <c r="Z36" s="759"/>
      <c r="AA36" s="760"/>
      <c r="AB36" s="179" t="str">
        <f t="shared" si="0"/>
        <v/>
      </c>
      <c r="AC36" s="179" t="str">
        <f t="shared" si="1"/>
        <v/>
      </c>
    </row>
    <row r="37" spans="6:29" s="179" customFormat="1" ht="12">
      <c r="F37" s="381"/>
      <c r="G37" s="228" t="str">
        <f>IFERROR(RANK(F37,F$7:F$102),"")</f>
        <v/>
      </c>
      <c r="H37" s="379"/>
      <c r="I37" s="228" t="str">
        <f>IFERROR(RANK(H37,H$7:H$102),"")</f>
        <v/>
      </c>
      <c r="J37" s="379"/>
      <c r="K37" s="228"/>
      <c r="L37" s="379"/>
      <c r="M37" s="228" t="str">
        <f>IFERROR(RANK(L37,L$7:L$102),"")</f>
        <v/>
      </c>
      <c r="N37" s="381"/>
      <c r="O37" s="228" t="str">
        <f>IFERROR(RANK(N37,N$7:N$102),"")</f>
        <v/>
      </c>
      <c r="P37" s="379"/>
      <c r="Q37" s="228" t="str">
        <f>IFERROR(IF(F37&gt;0,RANK(P37,P$7:P$102,1),""),"")</f>
        <v/>
      </c>
      <c r="R37" s="379"/>
      <c r="S37" s="228" t="str">
        <f>IFERROR(RANK(R37,R$7:R$102),"")</f>
        <v/>
      </c>
      <c r="T37" s="379"/>
      <c r="U37" s="228" t="str">
        <f>IFERROR(IF(F37&gt;0,RANK(T37,T$7:T$102,0),""),"")</f>
        <v/>
      </c>
      <c r="V37" s="379"/>
      <c r="W37" s="228" t="str">
        <f>IFERROR(IF(F37&gt;0,RANK(V37,V$7:V$102,0),""),"")</f>
        <v/>
      </c>
      <c r="X37" s="727"/>
      <c r="AB37" s="179" t="str">
        <f t="shared" si="0"/>
        <v/>
      </c>
      <c r="AC37" s="179" t="str">
        <f t="shared" si="1"/>
        <v/>
      </c>
    </row>
    <row r="38" spans="6:29" s="179" customFormat="1" ht="12">
      <c r="F38" s="381"/>
      <c r="G38" s="228" t="str">
        <f>IFERROR(RANK(F38,F$7:F$102),"")</f>
        <v/>
      </c>
      <c r="H38" s="379"/>
      <c r="I38" s="228" t="str">
        <f>IFERROR(RANK(H38,H$7:H$102),"")</f>
        <v/>
      </c>
      <c r="J38" s="379"/>
      <c r="K38" s="228"/>
      <c r="L38" s="379"/>
      <c r="M38" s="228" t="str">
        <f>IFERROR(RANK(L38,L$7:L$102),"")</f>
        <v/>
      </c>
      <c r="N38" s="381"/>
      <c r="O38" s="228" t="str">
        <f>IFERROR(RANK(N38,N$7:N$102),"")</f>
        <v/>
      </c>
      <c r="P38" s="379"/>
      <c r="Q38" s="228" t="str">
        <f>IFERROR(IF(F38&gt;0,RANK(P38,P$7:P$102,1),""),"")</f>
        <v/>
      </c>
      <c r="R38" s="379"/>
      <c r="S38" s="228" t="str">
        <f>IFERROR(RANK(R38,R$7:R$102),"")</f>
        <v/>
      </c>
      <c r="T38" s="379"/>
      <c r="U38" s="228" t="str">
        <f>IFERROR(IF(F38&gt;0,RANK(T38,T$7:T$102,0),""),"")</f>
        <v/>
      </c>
      <c r="V38" s="379"/>
      <c r="W38" s="228" t="str">
        <f>IFERROR(IF(F38&gt;0,RANK(V38,V$7:V$102,0),""),"")</f>
        <v/>
      </c>
      <c r="X38" s="727"/>
      <c r="AB38" s="179" t="str">
        <f t="shared" si="0"/>
        <v/>
      </c>
      <c r="AC38" s="179" t="str">
        <f t="shared" si="1"/>
        <v/>
      </c>
    </row>
    <row r="39" spans="6:29" s="179" customFormat="1" ht="12">
      <c r="F39" s="381"/>
      <c r="G39" s="228" t="str">
        <f>IFERROR(RANK(F39,F$7:F$102),"")</f>
        <v/>
      </c>
      <c r="H39" s="379"/>
      <c r="I39" s="228" t="str">
        <f>IFERROR(RANK(H39,H$7:H$102),"")</f>
        <v/>
      </c>
      <c r="J39" s="379"/>
      <c r="K39" s="228"/>
      <c r="L39" s="379"/>
      <c r="M39" s="228" t="str">
        <f>IFERROR(RANK(L39,L$7:L$102),"")</f>
        <v/>
      </c>
      <c r="N39" s="381"/>
      <c r="O39" s="228" t="str">
        <f>IFERROR(RANK(N39,N$7:N$102),"")</f>
        <v/>
      </c>
      <c r="P39" s="379"/>
      <c r="Q39" s="228" t="str">
        <f>IFERROR(IF(F39&gt;0,RANK(P39,P$7:P$102,1),""),"")</f>
        <v/>
      </c>
      <c r="R39" s="379"/>
      <c r="S39" s="228" t="str">
        <f>IFERROR(RANK(R39,R$7:R$102),"")</f>
        <v/>
      </c>
      <c r="T39" s="379"/>
      <c r="U39" s="228" t="str">
        <f>IFERROR(IF(F39&gt;0,RANK(T39,T$7:T$102,0),""),"")</f>
        <v/>
      </c>
      <c r="V39" s="379"/>
      <c r="W39" s="228" t="str">
        <f>IFERROR(IF(F39&gt;0,RANK(V39,V$7:V$102,0),""),"")</f>
        <v/>
      </c>
      <c r="X39" s="727"/>
      <c r="AB39" s="179" t="str">
        <f t="shared" si="0"/>
        <v/>
      </c>
      <c r="AC39" s="179" t="str">
        <f t="shared" si="1"/>
        <v/>
      </c>
    </row>
    <row r="40" spans="6:29" s="179" customFormat="1" ht="12">
      <c r="F40" s="381"/>
      <c r="G40" s="228" t="str">
        <f>IFERROR(RANK(F40,F$7:F$102),"")</f>
        <v/>
      </c>
      <c r="H40" s="379"/>
      <c r="I40" s="228" t="str">
        <f>IFERROR(RANK(H40,H$7:H$102),"")</f>
        <v/>
      </c>
      <c r="J40" s="379"/>
      <c r="K40" s="228"/>
      <c r="L40" s="379"/>
      <c r="M40" s="228" t="str">
        <f>IFERROR(RANK(L40,L$7:L$102),"")</f>
        <v/>
      </c>
      <c r="N40" s="381"/>
      <c r="O40" s="228" t="str">
        <f>IFERROR(RANK(N40,N$7:N$102),"")</f>
        <v/>
      </c>
      <c r="P40" s="379"/>
      <c r="Q40" s="228" t="str">
        <f>IFERROR(IF(F40&gt;0,RANK(P40,P$7:P$102,1),""),"")</f>
        <v/>
      </c>
      <c r="R40" s="379"/>
      <c r="S40" s="228" t="str">
        <f>IFERROR(RANK(R40,R$7:R$102),"")</f>
        <v/>
      </c>
      <c r="T40" s="379"/>
      <c r="U40" s="228" t="str">
        <f>IFERROR(IF(F40&gt;0,RANK(T40,T$7:T$102,0),""),"")</f>
        <v/>
      </c>
      <c r="V40" s="379"/>
      <c r="W40" s="228" t="str">
        <f>IFERROR(IF(F40&gt;0,RANK(V40,V$7:V$102,0),""),"")</f>
        <v/>
      </c>
      <c r="X40" s="727"/>
      <c r="AB40" s="179" t="str">
        <f t="shared" si="0"/>
        <v/>
      </c>
      <c r="AC40" s="179" t="str">
        <f t="shared" si="1"/>
        <v/>
      </c>
    </row>
    <row r="41" spans="6:29" s="179" customFormat="1" ht="12">
      <c r="F41" s="381"/>
      <c r="G41" s="228" t="str">
        <f>IFERROR(RANK(F41,F$7:F$102),"")</f>
        <v/>
      </c>
      <c r="H41" s="379"/>
      <c r="I41" s="228" t="str">
        <f>IFERROR(RANK(H41,H$7:H$102),"")</f>
        <v/>
      </c>
      <c r="J41" s="379"/>
      <c r="K41" s="228"/>
      <c r="L41" s="379"/>
      <c r="M41" s="228" t="str">
        <f>IFERROR(RANK(L41,L$7:L$102),"")</f>
        <v/>
      </c>
      <c r="N41" s="381"/>
      <c r="O41" s="228" t="str">
        <f>IFERROR(RANK(N41,N$7:N$102),"")</f>
        <v/>
      </c>
      <c r="P41" s="379"/>
      <c r="Q41" s="228" t="str">
        <f>IFERROR(IF(F41&gt;0,RANK(P41,P$7:P$102,1),""),"")</f>
        <v/>
      </c>
      <c r="R41" s="379"/>
      <c r="S41" s="228" t="str">
        <f>IFERROR(RANK(R41,R$7:R$102),"")</f>
        <v/>
      </c>
      <c r="T41" s="379"/>
      <c r="U41" s="228" t="str">
        <f>IFERROR(IF(F41&gt;0,RANK(T41,T$7:T$102,0),""),"")</f>
        <v/>
      </c>
      <c r="V41" s="379"/>
      <c r="W41" s="228" t="str">
        <f>IFERROR(IF(F41&gt;0,RANK(V41,V$7:V$102,0),""),"")</f>
        <v/>
      </c>
      <c r="X41" s="727"/>
      <c r="AB41" s="179" t="str">
        <f t="shared" si="0"/>
        <v/>
      </c>
      <c r="AC41" s="179" t="str">
        <f t="shared" si="1"/>
        <v/>
      </c>
    </row>
    <row r="42" spans="6:29" s="179" customFormat="1" ht="12">
      <c r="F42" s="381"/>
      <c r="G42" s="228" t="str">
        <f>IFERROR(RANK(F42,F$7:F$102),"")</f>
        <v/>
      </c>
      <c r="H42" s="379"/>
      <c r="I42" s="228" t="str">
        <f>IFERROR(RANK(H42,H$7:H$102),"")</f>
        <v/>
      </c>
      <c r="J42" s="379"/>
      <c r="K42" s="228"/>
      <c r="L42" s="379"/>
      <c r="M42" s="228" t="str">
        <f>IFERROR(RANK(L42,L$7:L$102),"")</f>
        <v/>
      </c>
      <c r="N42" s="381"/>
      <c r="O42" s="228" t="str">
        <f>IFERROR(RANK(N42,N$7:N$102),"")</f>
        <v/>
      </c>
      <c r="P42" s="379"/>
      <c r="Q42" s="228" t="str">
        <f>IFERROR(IF(F42&gt;0,RANK(P42,P$7:P$102,1),""),"")</f>
        <v/>
      </c>
      <c r="R42" s="379"/>
      <c r="S42" s="228" t="str">
        <f>IFERROR(RANK(R42,R$7:R$102),"")</f>
        <v/>
      </c>
      <c r="T42" s="379"/>
      <c r="U42" s="228" t="str">
        <f>IFERROR(IF(F42&gt;0,RANK(T42,T$7:T$102,0),""),"")</f>
        <v/>
      </c>
      <c r="V42" s="379"/>
      <c r="W42" s="228" t="str">
        <f>IFERROR(IF(F42&gt;0,RANK(V42,V$7:V$102,0),""),"")</f>
        <v/>
      </c>
      <c r="X42" s="727"/>
      <c r="AB42" s="179" t="str">
        <f t="shared" si="0"/>
        <v/>
      </c>
      <c r="AC42" s="179" t="str">
        <f t="shared" si="1"/>
        <v/>
      </c>
    </row>
    <row r="43" spans="6:29" s="179" customFormat="1" ht="12">
      <c r="F43" s="381"/>
      <c r="G43" s="228" t="str">
        <f>IFERROR(RANK(F43,F$7:F$102),"")</f>
        <v/>
      </c>
      <c r="H43" s="379"/>
      <c r="I43" s="228" t="str">
        <f>IFERROR(RANK(H43,H$7:H$102),"")</f>
        <v/>
      </c>
      <c r="J43" s="379"/>
      <c r="K43" s="228"/>
      <c r="L43" s="379"/>
      <c r="M43" s="228" t="str">
        <f>IFERROR(RANK(L43,L$7:L$102),"")</f>
        <v/>
      </c>
      <c r="N43" s="381"/>
      <c r="O43" s="228" t="str">
        <f>IFERROR(RANK(N43,N$7:N$102),"")</f>
        <v/>
      </c>
      <c r="P43" s="379"/>
      <c r="Q43" s="228" t="str">
        <f>IFERROR(IF(F43&gt;0,RANK(P43,P$7:P$102,1),""),"")</f>
        <v/>
      </c>
      <c r="R43" s="379"/>
      <c r="S43" s="228" t="str">
        <f>IFERROR(RANK(R43,R$7:R$102),"")</f>
        <v/>
      </c>
      <c r="T43" s="379"/>
      <c r="U43" s="228" t="str">
        <f>IFERROR(IF(F43&gt;0,RANK(T43,T$7:T$102,0),""),"")</f>
        <v/>
      </c>
      <c r="V43" s="379"/>
      <c r="W43" s="228" t="str">
        <f>IFERROR(IF(F43&gt;0,RANK(V43,V$7:V$102,0),""),"")</f>
        <v/>
      </c>
      <c r="X43" s="727"/>
      <c r="AB43" s="179" t="str">
        <f t="shared" si="0"/>
        <v/>
      </c>
      <c r="AC43" s="179" t="str">
        <f t="shared" si="1"/>
        <v/>
      </c>
    </row>
    <row r="44" spans="6:29" s="179" customFormat="1" ht="12">
      <c r="F44" s="381"/>
      <c r="G44" s="228" t="str">
        <f>IFERROR(RANK(F44,F$7:F$102),"")</f>
        <v/>
      </c>
      <c r="H44" s="379"/>
      <c r="I44" s="228" t="str">
        <f>IFERROR(RANK(H44,H$7:H$102),"")</f>
        <v/>
      </c>
      <c r="J44" s="379"/>
      <c r="K44" s="228"/>
      <c r="L44" s="379"/>
      <c r="M44" s="228" t="str">
        <f>IFERROR(RANK(L44,L$7:L$102),"")</f>
        <v/>
      </c>
      <c r="N44" s="381"/>
      <c r="O44" s="228" t="str">
        <f>IFERROR(RANK(N44,N$7:N$102),"")</f>
        <v/>
      </c>
      <c r="P44" s="379"/>
      <c r="Q44" s="228" t="str">
        <f>IFERROR(IF(F44&gt;0,RANK(P44,P$7:P$102,1),""),"")</f>
        <v/>
      </c>
      <c r="R44" s="379"/>
      <c r="S44" s="228" t="str">
        <f>IFERROR(RANK(R44,R$7:R$102),"")</f>
        <v/>
      </c>
      <c r="T44" s="379"/>
      <c r="U44" s="228" t="str">
        <f>IFERROR(IF(F44&gt;0,RANK(T44,T$7:T$102,0),""),"")</f>
        <v/>
      </c>
      <c r="V44" s="379"/>
      <c r="W44" s="228" t="str">
        <f>IFERROR(IF(F44&gt;0,RANK(V44,V$7:V$102,0),""),"")</f>
        <v/>
      </c>
      <c r="X44" s="727"/>
      <c r="AB44" s="179" t="str">
        <f t="shared" si="0"/>
        <v/>
      </c>
      <c r="AC44" s="179" t="str">
        <f t="shared" si="1"/>
        <v/>
      </c>
    </row>
    <row r="45" spans="6:29" s="179" customFormat="1" ht="12">
      <c r="F45" s="381"/>
      <c r="G45" s="228" t="str">
        <f>IFERROR(RANK(F45,F$7:F$102),"")</f>
        <v/>
      </c>
      <c r="H45" s="379"/>
      <c r="I45" s="228" t="str">
        <f>IFERROR(RANK(H45,H$7:H$102),"")</f>
        <v/>
      </c>
      <c r="J45" s="379"/>
      <c r="K45" s="228"/>
      <c r="L45" s="379"/>
      <c r="M45" s="228" t="str">
        <f>IFERROR(RANK(L45,L$7:L$102),"")</f>
        <v/>
      </c>
      <c r="N45" s="381"/>
      <c r="O45" s="228" t="str">
        <f>IFERROR(RANK(N45,N$7:N$102),"")</f>
        <v/>
      </c>
      <c r="P45" s="379"/>
      <c r="Q45" s="228" t="str">
        <f>IFERROR(IF(F45&gt;0,RANK(P45,P$7:P$102,1),""),"")</f>
        <v/>
      </c>
      <c r="R45" s="379"/>
      <c r="S45" s="228" t="str">
        <f>IFERROR(RANK(R45,R$7:R$102),"")</f>
        <v/>
      </c>
      <c r="T45" s="379"/>
      <c r="U45" s="228" t="str">
        <f>IFERROR(IF(F45&gt;0,RANK(T45,T$7:T$102,0),""),"")</f>
        <v/>
      </c>
      <c r="V45" s="379"/>
      <c r="W45" s="228" t="str">
        <f>IFERROR(IF(F45&gt;0,RANK(V45,V$7:V$102,0),""),"")</f>
        <v/>
      </c>
      <c r="X45" s="727"/>
      <c r="AB45" s="179" t="str">
        <f t="shared" si="0"/>
        <v/>
      </c>
      <c r="AC45" s="179" t="str">
        <f t="shared" si="1"/>
        <v/>
      </c>
    </row>
    <row r="46" spans="6:29" s="179" customFormat="1" ht="12">
      <c r="F46" s="381"/>
      <c r="G46" s="228" t="str">
        <f>IFERROR(RANK(F46,F$7:F$102),"")</f>
        <v/>
      </c>
      <c r="H46" s="379"/>
      <c r="I46" s="228" t="str">
        <f>IFERROR(RANK(H46,H$7:H$102),"")</f>
        <v/>
      </c>
      <c r="J46" s="379"/>
      <c r="K46" s="228"/>
      <c r="L46" s="379"/>
      <c r="M46" s="228" t="str">
        <f>IFERROR(RANK(L46,L$7:L$102),"")</f>
        <v/>
      </c>
      <c r="N46" s="381"/>
      <c r="O46" s="228" t="str">
        <f>IFERROR(RANK(N46,N$7:N$102),"")</f>
        <v/>
      </c>
      <c r="P46" s="379"/>
      <c r="Q46" s="228" t="str">
        <f>IFERROR(IF(F46&gt;0,RANK(P46,P$7:P$102,1),""),"")</f>
        <v/>
      </c>
      <c r="R46" s="379"/>
      <c r="S46" s="228" t="str">
        <f>IFERROR(RANK(R46,R$7:R$102),"")</f>
        <v/>
      </c>
      <c r="T46" s="379"/>
      <c r="U46" s="228" t="str">
        <f>IFERROR(IF(F46&gt;0,RANK(T46,T$7:T$102,0),""),"")</f>
        <v/>
      </c>
      <c r="V46" s="379"/>
      <c r="W46" s="228" t="str">
        <f>IFERROR(IF(F46&gt;0,RANK(V46,V$7:V$102,0),""),"")</f>
        <v/>
      </c>
      <c r="X46" s="727"/>
      <c r="AB46" s="179" t="str">
        <f t="shared" si="0"/>
        <v/>
      </c>
      <c r="AC46" s="179" t="str">
        <f t="shared" si="1"/>
        <v/>
      </c>
    </row>
    <row r="47" spans="6:29" s="179" customFormat="1" ht="12">
      <c r="F47" s="381"/>
      <c r="G47" s="228" t="str">
        <f>IFERROR(RANK(F47,F$7:F$102),"")</f>
        <v/>
      </c>
      <c r="H47" s="379"/>
      <c r="I47" s="228" t="str">
        <f>IFERROR(RANK(H47,H$7:H$102),"")</f>
        <v/>
      </c>
      <c r="J47" s="379"/>
      <c r="K47" s="228"/>
      <c r="L47" s="379"/>
      <c r="M47" s="228" t="str">
        <f>IFERROR(RANK(L47,L$7:L$102),"")</f>
        <v/>
      </c>
      <c r="N47" s="381"/>
      <c r="O47" s="228" t="str">
        <f>IFERROR(RANK(N47,N$7:N$102),"")</f>
        <v/>
      </c>
      <c r="P47" s="379"/>
      <c r="Q47" s="228" t="str">
        <f>IFERROR(IF(F47&gt;0,RANK(P47,P$7:P$102,1),""),"")</f>
        <v/>
      </c>
      <c r="R47" s="379"/>
      <c r="S47" s="228" t="str">
        <f>IFERROR(RANK(R47,R$7:R$102),"")</f>
        <v/>
      </c>
      <c r="T47" s="379"/>
      <c r="U47" s="228" t="str">
        <f>IFERROR(IF(F47&gt;0,RANK(T47,T$7:T$102,0),""),"")</f>
        <v/>
      </c>
      <c r="V47" s="379"/>
      <c r="W47" s="228" t="str">
        <f>IFERROR(IF(F47&gt;0,RANK(V47,V$7:V$102,0),""),"")</f>
        <v/>
      </c>
      <c r="X47" s="727"/>
      <c r="AB47" s="179" t="str">
        <f t="shared" si="0"/>
        <v/>
      </c>
      <c r="AC47" s="179" t="str">
        <f t="shared" si="1"/>
        <v/>
      </c>
    </row>
    <row r="48" spans="6:29" s="179" customFormat="1" ht="12">
      <c r="F48" s="381"/>
      <c r="G48" s="228" t="str">
        <f>IFERROR(RANK(F48,F$7:F$102),"")</f>
        <v/>
      </c>
      <c r="H48" s="379"/>
      <c r="I48" s="228" t="str">
        <f>IFERROR(RANK(H48,H$7:H$102),"")</f>
        <v/>
      </c>
      <c r="J48" s="379"/>
      <c r="K48" s="228"/>
      <c r="L48" s="379"/>
      <c r="M48" s="228" t="str">
        <f>IFERROR(RANK(L48,L$7:L$102),"")</f>
        <v/>
      </c>
      <c r="N48" s="381"/>
      <c r="O48" s="228" t="str">
        <f>IFERROR(RANK(N48,N$7:N$102),"")</f>
        <v/>
      </c>
      <c r="P48" s="379"/>
      <c r="Q48" s="228" t="str">
        <f>IFERROR(IF(F48&gt;0,RANK(P48,P$7:P$102,1),""),"")</f>
        <v/>
      </c>
      <c r="R48" s="379"/>
      <c r="S48" s="228" t="str">
        <f>IFERROR(RANK(R48,R$7:R$102),"")</f>
        <v/>
      </c>
      <c r="T48" s="379"/>
      <c r="U48" s="228" t="str">
        <f>IFERROR(IF(F48&gt;0,RANK(T48,T$7:T$102,0),""),"")</f>
        <v/>
      </c>
      <c r="V48" s="379"/>
      <c r="W48" s="228" t="str">
        <f>IFERROR(IF(F48&gt;0,RANK(V48,V$7:V$102,0),""),"")</f>
        <v/>
      </c>
      <c r="X48" s="727"/>
      <c r="AB48" s="179" t="str">
        <f t="shared" si="0"/>
        <v/>
      </c>
      <c r="AC48" s="179" t="str">
        <f t="shared" si="1"/>
        <v/>
      </c>
    </row>
    <row r="49" spans="6:29" s="179" customFormat="1" ht="12">
      <c r="F49" s="381"/>
      <c r="G49" s="228" t="str">
        <f>IFERROR(RANK(F49,F$7:F$102),"")</f>
        <v/>
      </c>
      <c r="H49" s="379"/>
      <c r="I49" s="228" t="str">
        <f>IFERROR(RANK(H49,H$7:H$102),"")</f>
        <v/>
      </c>
      <c r="J49" s="379"/>
      <c r="K49" s="228"/>
      <c r="L49" s="379"/>
      <c r="M49" s="228" t="str">
        <f>IFERROR(RANK(L49,L$7:L$102),"")</f>
        <v/>
      </c>
      <c r="N49" s="381"/>
      <c r="O49" s="228" t="str">
        <f>IFERROR(RANK(N49,N$7:N$102),"")</f>
        <v/>
      </c>
      <c r="P49" s="379"/>
      <c r="Q49" s="228" t="str">
        <f>IFERROR(IF(F49&gt;0,RANK(P49,P$7:P$102,1),""),"")</f>
        <v/>
      </c>
      <c r="R49" s="379"/>
      <c r="S49" s="228" t="str">
        <f>IFERROR(RANK(R49,R$7:R$102),"")</f>
        <v/>
      </c>
      <c r="T49" s="379"/>
      <c r="U49" s="228" t="str">
        <f>IFERROR(IF(F49&gt;0,RANK(T49,T$7:T$102,0),""),"")</f>
        <v/>
      </c>
      <c r="V49" s="379"/>
      <c r="W49" s="228" t="str">
        <f>IFERROR(IF(F49&gt;0,RANK(V49,V$7:V$102,0),""),"")</f>
        <v/>
      </c>
      <c r="X49" s="727"/>
      <c r="AB49" s="179" t="str">
        <f t="shared" si="0"/>
        <v/>
      </c>
      <c r="AC49" s="179" t="str">
        <f t="shared" si="1"/>
        <v/>
      </c>
    </row>
    <row r="50" spans="6:29" s="179" customFormat="1" ht="12">
      <c r="F50" s="381"/>
      <c r="G50" s="228" t="str">
        <f>IFERROR(RANK(F50,F$7:F$102),"")</f>
        <v/>
      </c>
      <c r="H50" s="379"/>
      <c r="I50" s="228" t="str">
        <f>IFERROR(RANK(H50,H$7:H$102),"")</f>
        <v/>
      </c>
      <c r="J50" s="379"/>
      <c r="K50" s="228"/>
      <c r="L50" s="379"/>
      <c r="M50" s="228" t="str">
        <f>IFERROR(RANK(L50,L$7:L$102),"")</f>
        <v/>
      </c>
      <c r="N50" s="381"/>
      <c r="O50" s="228" t="str">
        <f>IFERROR(RANK(N50,N$7:N$102),"")</f>
        <v/>
      </c>
      <c r="P50" s="379"/>
      <c r="Q50" s="228" t="str">
        <f>IFERROR(IF(F50&gt;0,RANK(P50,P$7:P$102,1),""),"")</f>
        <v/>
      </c>
      <c r="R50" s="379"/>
      <c r="S50" s="228" t="str">
        <f>IFERROR(RANK(R50,R$7:R$102),"")</f>
        <v/>
      </c>
      <c r="T50" s="379"/>
      <c r="U50" s="228" t="str">
        <f>IFERROR(IF(F50&gt;0,RANK(T50,T$7:T$102,0),""),"")</f>
        <v/>
      </c>
      <c r="V50" s="379"/>
      <c r="W50" s="228" t="str">
        <f>IFERROR(IF(F50&gt;0,RANK(V50,V$7:V$102,0),""),"")</f>
        <v/>
      </c>
      <c r="X50" s="727"/>
      <c r="AB50" s="179" t="str">
        <f t="shared" si="0"/>
        <v/>
      </c>
      <c r="AC50" s="179" t="str">
        <f t="shared" si="1"/>
        <v/>
      </c>
    </row>
    <row r="51" spans="6:29" s="179" customFormat="1" ht="12">
      <c r="F51" s="381"/>
      <c r="G51" s="228" t="str">
        <f>IFERROR(RANK(F51,F$7:F$102),"")</f>
        <v/>
      </c>
      <c r="H51" s="379"/>
      <c r="I51" s="228" t="str">
        <f>IFERROR(RANK(H51,H$7:H$102),"")</f>
        <v/>
      </c>
      <c r="J51" s="379"/>
      <c r="K51" s="228"/>
      <c r="L51" s="379"/>
      <c r="M51" s="228" t="str">
        <f>IFERROR(RANK(L51,L$7:L$102),"")</f>
        <v/>
      </c>
      <c r="N51" s="381"/>
      <c r="O51" s="228" t="str">
        <f>IFERROR(RANK(N51,N$7:N$102),"")</f>
        <v/>
      </c>
      <c r="P51" s="379"/>
      <c r="Q51" s="228" t="str">
        <f>IFERROR(IF(F51&gt;0,RANK(P51,P$7:P$102,1),""),"")</f>
        <v/>
      </c>
      <c r="R51" s="379"/>
      <c r="S51" s="228" t="str">
        <f>IFERROR(RANK(R51,R$7:R$102),"")</f>
        <v/>
      </c>
      <c r="T51" s="379"/>
      <c r="U51" s="228" t="str">
        <f>IFERROR(IF(F51&gt;0,RANK(T51,T$7:T$102,0),""),"")</f>
        <v/>
      </c>
      <c r="V51" s="379"/>
      <c r="W51" s="228" t="str">
        <f>IFERROR(IF(F51&gt;0,RANK(V51,V$7:V$102,0),""),"")</f>
        <v/>
      </c>
      <c r="X51" s="727"/>
      <c r="AB51" s="179" t="str">
        <f t="shared" si="0"/>
        <v/>
      </c>
      <c r="AC51" s="179" t="str">
        <f t="shared" si="1"/>
        <v/>
      </c>
    </row>
    <row r="52" spans="6:29" s="179" customFormat="1" ht="12">
      <c r="F52" s="381"/>
      <c r="G52" s="228" t="str">
        <f>IFERROR(RANK(F52,F$7:F$102),"")</f>
        <v/>
      </c>
      <c r="H52" s="379"/>
      <c r="I52" s="228" t="str">
        <f>IFERROR(RANK(H52,H$7:H$102),"")</f>
        <v/>
      </c>
      <c r="J52" s="379"/>
      <c r="K52" s="228"/>
      <c r="L52" s="379"/>
      <c r="M52" s="228" t="str">
        <f>IFERROR(RANK(L52,L$7:L$102),"")</f>
        <v/>
      </c>
      <c r="N52" s="381"/>
      <c r="O52" s="228" t="str">
        <f>IFERROR(RANK(N52,N$7:N$102),"")</f>
        <v/>
      </c>
      <c r="P52" s="379"/>
      <c r="Q52" s="228" t="str">
        <f>IFERROR(IF(F52&gt;0,RANK(P52,P$7:P$102,1),""),"")</f>
        <v/>
      </c>
      <c r="R52" s="379"/>
      <c r="S52" s="228" t="str">
        <f>IFERROR(RANK(R52,R$7:R$102),"")</f>
        <v/>
      </c>
      <c r="T52" s="379"/>
      <c r="U52" s="228" t="str">
        <f>IFERROR(IF(F52&gt;0,RANK(T52,T$7:T$102,0),""),"")</f>
        <v/>
      </c>
      <c r="V52" s="379"/>
      <c r="W52" s="228" t="str">
        <f>IFERROR(IF(F52&gt;0,RANK(V52,V$7:V$102,0),""),"")</f>
        <v/>
      </c>
      <c r="X52" s="727"/>
      <c r="AB52" s="179" t="str">
        <f t="shared" si="0"/>
        <v/>
      </c>
      <c r="AC52" s="179" t="str">
        <f t="shared" si="1"/>
        <v/>
      </c>
    </row>
    <row r="53" spans="6:29" s="179" customFormat="1" ht="12">
      <c r="F53" s="381"/>
      <c r="G53" s="228" t="str">
        <f>IFERROR(RANK(F53,F$7:F$102),"")</f>
        <v/>
      </c>
      <c r="H53" s="379"/>
      <c r="I53" s="228" t="str">
        <f>IFERROR(RANK(H53,H$7:H$102),"")</f>
        <v/>
      </c>
      <c r="J53" s="379"/>
      <c r="K53" s="228"/>
      <c r="L53" s="379"/>
      <c r="M53" s="228" t="str">
        <f>IFERROR(RANK(L53,L$7:L$102),"")</f>
        <v/>
      </c>
      <c r="N53" s="381"/>
      <c r="O53" s="228" t="str">
        <f>IFERROR(RANK(N53,N$7:N$102),"")</f>
        <v/>
      </c>
      <c r="P53" s="379"/>
      <c r="Q53" s="228" t="str">
        <f>IFERROR(IF(F53&gt;0,RANK(P53,P$7:P$102,1),""),"")</f>
        <v/>
      </c>
      <c r="R53" s="379"/>
      <c r="S53" s="228" t="str">
        <f>IFERROR(RANK(R53,R$7:R$102),"")</f>
        <v/>
      </c>
      <c r="T53" s="379"/>
      <c r="U53" s="228" t="str">
        <f>IFERROR(IF(F53&gt;0,RANK(T53,T$7:T$102,0),""),"")</f>
        <v/>
      </c>
      <c r="V53" s="379"/>
      <c r="W53" s="228" t="str">
        <f>IFERROR(IF(F53&gt;0,RANK(V53,V$7:V$102,0),""),"")</f>
        <v/>
      </c>
      <c r="X53" s="727"/>
      <c r="AB53" s="179" t="str">
        <f t="shared" si="0"/>
        <v/>
      </c>
      <c r="AC53" s="179" t="str">
        <f t="shared" si="1"/>
        <v/>
      </c>
    </row>
    <row r="54" spans="6:29" s="179" customFormat="1" ht="12">
      <c r="F54" s="381"/>
      <c r="G54" s="228" t="str">
        <f>IFERROR(RANK(F54,F$7:F$102),"")</f>
        <v/>
      </c>
      <c r="H54" s="379"/>
      <c r="I54" s="228" t="str">
        <f>IFERROR(RANK(H54,H$7:H$102),"")</f>
        <v/>
      </c>
      <c r="J54" s="379"/>
      <c r="K54" s="228"/>
      <c r="L54" s="379"/>
      <c r="M54" s="228" t="str">
        <f>IFERROR(RANK(L54,L$7:L$102),"")</f>
        <v/>
      </c>
      <c r="N54" s="381"/>
      <c r="O54" s="228" t="str">
        <f>IFERROR(RANK(N54,N$7:N$102),"")</f>
        <v/>
      </c>
      <c r="P54" s="379"/>
      <c r="Q54" s="228" t="str">
        <f>IFERROR(IF(F54&gt;0,RANK(P54,P$7:P$102,1),""),"")</f>
        <v/>
      </c>
      <c r="R54" s="379"/>
      <c r="S54" s="228" t="str">
        <f>IFERROR(RANK(R54,R$7:R$102),"")</f>
        <v/>
      </c>
      <c r="T54" s="379"/>
      <c r="U54" s="228" t="str">
        <f>IFERROR(IF(F54&gt;0,RANK(T54,T$7:T$102,0),""),"")</f>
        <v/>
      </c>
      <c r="V54" s="379"/>
      <c r="W54" s="228" t="str">
        <f>IFERROR(IF(F54&gt;0,RANK(V54,V$7:V$102,0),""),"")</f>
        <v/>
      </c>
      <c r="X54" s="727"/>
      <c r="AB54" s="179" t="str">
        <f t="shared" si="0"/>
        <v/>
      </c>
      <c r="AC54" s="179" t="str">
        <f t="shared" si="1"/>
        <v/>
      </c>
    </row>
    <row r="55" spans="6:29" s="179" customFormat="1" ht="12">
      <c r="F55" s="381"/>
      <c r="G55" s="228" t="str">
        <f>IFERROR(RANK(F55,F$7:F$102),"")</f>
        <v/>
      </c>
      <c r="H55" s="379"/>
      <c r="I55" s="228" t="str">
        <f>IFERROR(RANK(H55,H$7:H$102),"")</f>
        <v/>
      </c>
      <c r="J55" s="379"/>
      <c r="K55" s="228"/>
      <c r="L55" s="379"/>
      <c r="M55" s="228" t="str">
        <f>IFERROR(RANK(L55,L$7:L$102),"")</f>
        <v/>
      </c>
      <c r="N55" s="381"/>
      <c r="O55" s="228" t="str">
        <f>IFERROR(RANK(N55,N$7:N$102),"")</f>
        <v/>
      </c>
      <c r="P55" s="379"/>
      <c r="Q55" s="228" t="str">
        <f>IFERROR(IF(F55&gt;0,RANK(P55,P$7:P$102,1),""),"")</f>
        <v/>
      </c>
      <c r="R55" s="379"/>
      <c r="S55" s="228" t="str">
        <f>IFERROR(RANK(R55,R$7:R$102),"")</f>
        <v/>
      </c>
      <c r="T55" s="379"/>
      <c r="U55" s="228" t="str">
        <f>IFERROR(IF(F55&gt;0,RANK(T55,T$7:T$102,0),""),"")</f>
        <v/>
      </c>
      <c r="V55" s="379"/>
      <c r="W55" s="228" t="str">
        <f>IFERROR(IF(F55&gt;0,RANK(V55,V$7:V$102,0),""),"")</f>
        <v/>
      </c>
      <c r="X55" s="727"/>
      <c r="AB55" s="179" t="str">
        <f t="shared" si="0"/>
        <v/>
      </c>
      <c r="AC55" s="179" t="str">
        <f t="shared" si="1"/>
        <v/>
      </c>
    </row>
    <row r="56" spans="6:29" s="179" customFormat="1" ht="12">
      <c r="F56" s="381"/>
      <c r="G56" s="228" t="str">
        <f>IFERROR(RANK(F56,F$7:F$102),"")</f>
        <v/>
      </c>
      <c r="H56" s="379"/>
      <c r="I56" s="228" t="str">
        <f>IFERROR(RANK(H56,H$7:H$102),"")</f>
        <v/>
      </c>
      <c r="J56" s="379"/>
      <c r="K56" s="228"/>
      <c r="L56" s="379"/>
      <c r="M56" s="228" t="str">
        <f>IFERROR(RANK(L56,L$7:L$102),"")</f>
        <v/>
      </c>
      <c r="N56" s="381"/>
      <c r="O56" s="228" t="str">
        <f>IFERROR(RANK(N56,N$7:N$102),"")</f>
        <v/>
      </c>
      <c r="P56" s="379"/>
      <c r="Q56" s="228" t="str">
        <f>IFERROR(IF(F56&gt;0,RANK(P56,P$7:P$102,1),""),"")</f>
        <v/>
      </c>
      <c r="R56" s="379"/>
      <c r="S56" s="228" t="str">
        <f>IFERROR(RANK(R56,R$7:R$102),"")</f>
        <v/>
      </c>
      <c r="T56" s="379"/>
      <c r="U56" s="228" t="str">
        <f>IFERROR(IF(F56&gt;0,RANK(T56,T$7:T$102,0),""),"")</f>
        <v/>
      </c>
      <c r="V56" s="379"/>
      <c r="W56" s="228" t="str">
        <f>IFERROR(IF(F56&gt;0,RANK(V56,V$7:V$102,0),""),"")</f>
        <v/>
      </c>
      <c r="X56" s="727"/>
      <c r="AB56" s="179" t="str">
        <f t="shared" si="0"/>
        <v/>
      </c>
      <c r="AC56" s="179" t="str">
        <f t="shared" si="1"/>
        <v/>
      </c>
    </row>
    <row r="57" spans="6:29" s="179" customFormat="1" ht="12">
      <c r="F57" s="381"/>
      <c r="G57" s="228" t="str">
        <f>IFERROR(RANK(F57,F$7:F$102),"")</f>
        <v/>
      </c>
      <c r="H57" s="379"/>
      <c r="I57" s="228" t="str">
        <f>IFERROR(RANK(H57,H$7:H$102),"")</f>
        <v/>
      </c>
      <c r="J57" s="379"/>
      <c r="K57" s="228"/>
      <c r="L57" s="379"/>
      <c r="M57" s="228" t="str">
        <f>IFERROR(RANK(L57,L$7:L$102),"")</f>
        <v/>
      </c>
      <c r="N57" s="381"/>
      <c r="O57" s="228" t="str">
        <f>IFERROR(RANK(N57,N$7:N$102),"")</f>
        <v/>
      </c>
      <c r="P57" s="379"/>
      <c r="Q57" s="228" t="str">
        <f>IFERROR(IF(F57&gt;0,RANK(P57,P$7:P$102,1),""),"")</f>
        <v/>
      </c>
      <c r="R57" s="379"/>
      <c r="S57" s="228" t="str">
        <f>IFERROR(RANK(R57,R$7:R$102),"")</f>
        <v/>
      </c>
      <c r="T57" s="379"/>
      <c r="U57" s="228" t="str">
        <f>IFERROR(IF(F57&gt;0,RANK(T57,T$7:T$102,0),""),"")</f>
        <v/>
      </c>
      <c r="V57" s="379"/>
      <c r="W57" s="228" t="str">
        <f>IFERROR(IF(F57&gt;0,RANK(V57,V$7:V$102,0),""),"")</f>
        <v/>
      </c>
      <c r="X57" s="727"/>
      <c r="AB57" s="179" t="str">
        <f t="shared" si="0"/>
        <v/>
      </c>
      <c r="AC57" s="179" t="str">
        <f t="shared" si="1"/>
        <v/>
      </c>
    </row>
    <row r="58" spans="6:29" s="179" customFormat="1" ht="12">
      <c r="F58" s="381"/>
      <c r="G58" s="228" t="str">
        <f>IFERROR(RANK(F58,F$7:F$102),"")</f>
        <v/>
      </c>
      <c r="H58" s="379"/>
      <c r="I58" s="228" t="str">
        <f>IFERROR(RANK(H58,H$7:H$102),"")</f>
        <v/>
      </c>
      <c r="J58" s="379"/>
      <c r="K58" s="228"/>
      <c r="L58" s="379"/>
      <c r="M58" s="228" t="str">
        <f>IFERROR(RANK(L58,L$7:L$102),"")</f>
        <v/>
      </c>
      <c r="N58" s="381"/>
      <c r="O58" s="228" t="str">
        <f>IFERROR(RANK(N58,N$7:N$102),"")</f>
        <v/>
      </c>
      <c r="P58" s="379"/>
      <c r="Q58" s="228" t="str">
        <f>IFERROR(IF(F58&gt;0,RANK(P58,P$7:P$102,1),""),"")</f>
        <v/>
      </c>
      <c r="R58" s="379"/>
      <c r="S58" s="228" t="str">
        <f>IFERROR(RANK(R58,R$7:R$102),"")</f>
        <v/>
      </c>
      <c r="T58" s="379"/>
      <c r="U58" s="228" t="str">
        <f>IFERROR(IF(F58&gt;0,RANK(T58,T$7:T$102,0),""),"")</f>
        <v/>
      </c>
      <c r="V58" s="379"/>
      <c r="W58" s="228" t="str">
        <f>IFERROR(IF(F58&gt;0,RANK(V58,V$7:V$102,0),""),"")</f>
        <v/>
      </c>
      <c r="X58" s="727"/>
      <c r="AB58" s="179" t="str">
        <f t="shared" si="0"/>
        <v/>
      </c>
      <c r="AC58" s="179" t="str">
        <f t="shared" si="1"/>
        <v/>
      </c>
    </row>
    <row r="59" spans="6:29" s="179" customFormat="1" ht="12">
      <c r="F59" s="381"/>
      <c r="G59" s="228" t="str">
        <f>IFERROR(RANK(F59,F$7:F$102),"")</f>
        <v/>
      </c>
      <c r="H59" s="379"/>
      <c r="I59" s="228" t="str">
        <f>IFERROR(RANK(H59,H$7:H$102),"")</f>
        <v/>
      </c>
      <c r="J59" s="379"/>
      <c r="K59" s="228"/>
      <c r="L59" s="379"/>
      <c r="M59" s="228" t="str">
        <f>IFERROR(RANK(L59,L$7:L$102),"")</f>
        <v/>
      </c>
      <c r="N59" s="381"/>
      <c r="O59" s="228" t="str">
        <f>IFERROR(RANK(N59,N$7:N$102),"")</f>
        <v/>
      </c>
      <c r="P59" s="379"/>
      <c r="Q59" s="228" t="str">
        <f>IFERROR(IF(F59&gt;0,RANK(P59,P$7:P$102,1),""),"")</f>
        <v/>
      </c>
      <c r="R59" s="379"/>
      <c r="S59" s="228" t="str">
        <f>IFERROR(RANK(R59,R$7:R$102),"")</f>
        <v/>
      </c>
      <c r="T59" s="379"/>
      <c r="U59" s="228" t="str">
        <f>IFERROR(IF(F59&gt;0,RANK(T59,T$7:T$102,0),""),"")</f>
        <v/>
      </c>
      <c r="V59" s="379"/>
      <c r="W59" s="228" t="str">
        <f>IFERROR(IF(F59&gt;0,RANK(V59,V$7:V$102,0),""),"")</f>
        <v/>
      </c>
      <c r="X59" s="727"/>
      <c r="AB59" s="179" t="str">
        <f t="shared" si="0"/>
        <v/>
      </c>
      <c r="AC59" s="179" t="str">
        <f t="shared" si="1"/>
        <v/>
      </c>
    </row>
    <row r="60" spans="6:29" s="179" customFormat="1" ht="12">
      <c r="F60" s="381"/>
      <c r="G60" s="228" t="str">
        <f>IFERROR(RANK(F60,F$7:F$102),"")</f>
        <v/>
      </c>
      <c r="H60" s="379"/>
      <c r="I60" s="228" t="str">
        <f>IFERROR(RANK(H60,H$7:H$102),"")</f>
        <v/>
      </c>
      <c r="J60" s="379"/>
      <c r="K60" s="228"/>
      <c r="L60" s="379"/>
      <c r="M60" s="228" t="str">
        <f>IFERROR(RANK(L60,L$7:L$102),"")</f>
        <v/>
      </c>
      <c r="N60" s="381"/>
      <c r="O60" s="228" t="str">
        <f>IFERROR(RANK(N60,N$7:N$102),"")</f>
        <v/>
      </c>
      <c r="P60" s="379"/>
      <c r="Q60" s="228" t="str">
        <f>IFERROR(IF(F60&gt;0,RANK(P60,P$7:P$102,1),""),"")</f>
        <v/>
      </c>
      <c r="R60" s="379"/>
      <c r="S60" s="228" t="str">
        <f>IFERROR(RANK(R60,R$7:R$102),"")</f>
        <v/>
      </c>
      <c r="T60" s="379"/>
      <c r="U60" s="228" t="str">
        <f>IFERROR(IF(F60&gt;0,RANK(T60,T$7:T$102,0),""),"")</f>
        <v/>
      </c>
      <c r="V60" s="379"/>
      <c r="W60" s="228" t="str">
        <f>IFERROR(IF(F60&gt;0,RANK(V60,V$7:V$102,0),""),"")</f>
        <v/>
      </c>
      <c r="X60" s="727"/>
      <c r="AB60" s="179" t="str">
        <f t="shared" si="0"/>
        <v/>
      </c>
      <c r="AC60" s="179" t="str">
        <f t="shared" si="1"/>
        <v/>
      </c>
    </row>
    <row r="61" spans="6:29" s="179" customFormat="1" ht="12">
      <c r="F61" s="381"/>
      <c r="G61" s="228" t="str">
        <f>IFERROR(RANK(F61,F$7:F$102),"")</f>
        <v/>
      </c>
      <c r="H61" s="379"/>
      <c r="I61" s="228" t="str">
        <f>IFERROR(RANK(H61,H$7:H$102),"")</f>
        <v/>
      </c>
      <c r="J61" s="379"/>
      <c r="K61" s="228"/>
      <c r="L61" s="379"/>
      <c r="M61" s="228" t="str">
        <f>IFERROR(RANK(L61,L$7:L$102),"")</f>
        <v/>
      </c>
      <c r="N61" s="381"/>
      <c r="O61" s="228" t="str">
        <f>IFERROR(RANK(N61,N$7:N$102),"")</f>
        <v/>
      </c>
      <c r="P61" s="379"/>
      <c r="Q61" s="228" t="str">
        <f>IFERROR(IF(F61&gt;0,RANK(P61,P$7:P$102,1),""),"")</f>
        <v/>
      </c>
      <c r="R61" s="379"/>
      <c r="S61" s="228" t="str">
        <f>IFERROR(RANK(R61,R$7:R$102),"")</f>
        <v/>
      </c>
      <c r="T61" s="379"/>
      <c r="U61" s="228" t="str">
        <f>IFERROR(IF(F61&gt;0,RANK(T61,T$7:T$102,0),""),"")</f>
        <v/>
      </c>
      <c r="V61" s="379"/>
      <c r="W61" s="228" t="str">
        <f>IFERROR(IF(F61&gt;0,RANK(V61,V$7:V$102,0),""),"")</f>
        <v/>
      </c>
      <c r="X61" s="727"/>
      <c r="AB61" s="179" t="str">
        <f t="shared" si="0"/>
        <v/>
      </c>
      <c r="AC61" s="179" t="str">
        <f t="shared" si="1"/>
        <v/>
      </c>
    </row>
    <row r="62" spans="6:29" s="179" customFormat="1" ht="12">
      <c r="F62" s="381"/>
      <c r="G62" s="228" t="str">
        <f>IFERROR(RANK(F62,F$7:F$102),"")</f>
        <v/>
      </c>
      <c r="H62" s="379"/>
      <c r="I62" s="228" t="str">
        <f>IFERROR(RANK(H62,H$7:H$102),"")</f>
        <v/>
      </c>
      <c r="J62" s="379"/>
      <c r="K62" s="228"/>
      <c r="L62" s="379"/>
      <c r="M62" s="228" t="str">
        <f>IFERROR(RANK(L62,L$7:L$102),"")</f>
        <v/>
      </c>
      <c r="N62" s="381"/>
      <c r="O62" s="228" t="str">
        <f>IFERROR(RANK(N62,N$7:N$102),"")</f>
        <v/>
      </c>
      <c r="P62" s="379"/>
      <c r="Q62" s="228" t="str">
        <f>IFERROR(IF(F62&gt;0,RANK(P62,P$7:P$102,1),""),"")</f>
        <v/>
      </c>
      <c r="R62" s="379"/>
      <c r="S62" s="228" t="str">
        <f>IFERROR(RANK(R62,R$7:R$102),"")</f>
        <v/>
      </c>
      <c r="T62" s="379"/>
      <c r="U62" s="228" t="str">
        <f>IFERROR(IF(F62&gt;0,RANK(T62,T$7:T$102,0),""),"")</f>
        <v/>
      </c>
      <c r="V62" s="379"/>
      <c r="W62" s="228" t="str">
        <f>IFERROR(IF(F62&gt;0,RANK(V62,V$7:V$102,0),""),"")</f>
        <v/>
      </c>
      <c r="X62" s="727"/>
      <c r="AB62" s="179" t="str">
        <f t="shared" si="0"/>
        <v/>
      </c>
      <c r="AC62" s="179" t="str">
        <f t="shared" si="1"/>
        <v/>
      </c>
    </row>
    <row r="63" spans="6:29" s="179" customFormat="1" ht="12">
      <c r="F63" s="381"/>
      <c r="G63" s="228" t="str">
        <f>IFERROR(RANK(F63,F$7:F$102),"")</f>
        <v/>
      </c>
      <c r="H63" s="379"/>
      <c r="I63" s="228" t="str">
        <f>IFERROR(RANK(H63,H$7:H$102),"")</f>
        <v/>
      </c>
      <c r="J63" s="379"/>
      <c r="K63" s="228"/>
      <c r="L63" s="379"/>
      <c r="M63" s="228" t="str">
        <f>IFERROR(RANK(L63,L$7:L$102),"")</f>
        <v/>
      </c>
      <c r="N63" s="381"/>
      <c r="O63" s="228" t="str">
        <f>IFERROR(RANK(N63,N$7:N$102),"")</f>
        <v/>
      </c>
      <c r="P63" s="379"/>
      <c r="Q63" s="228" t="str">
        <f>IFERROR(IF(F63&gt;0,RANK(P63,P$7:P$102,1),""),"")</f>
        <v/>
      </c>
      <c r="R63" s="379"/>
      <c r="S63" s="228" t="str">
        <f>IFERROR(RANK(R63,R$7:R$102),"")</f>
        <v/>
      </c>
      <c r="T63" s="379"/>
      <c r="U63" s="228" t="str">
        <f>IFERROR(IF(F63&gt;0,RANK(T63,T$7:T$102,0),""),"")</f>
        <v/>
      </c>
      <c r="V63" s="379"/>
      <c r="W63" s="228" t="str">
        <f>IFERROR(IF(F63&gt;0,RANK(V63,V$7:V$102,0),""),"")</f>
        <v/>
      </c>
      <c r="X63" s="727"/>
      <c r="AB63" s="179" t="str">
        <f t="shared" si="0"/>
        <v/>
      </c>
      <c r="AC63" s="179" t="str">
        <f t="shared" si="1"/>
        <v/>
      </c>
    </row>
    <row r="64" spans="6:29" s="179" customFormat="1" ht="12">
      <c r="F64" s="381"/>
      <c r="G64" s="228" t="str">
        <f>IFERROR(RANK(F64,F$7:F$102),"")</f>
        <v/>
      </c>
      <c r="H64" s="379"/>
      <c r="I64" s="228" t="str">
        <f>IFERROR(RANK(H64,H$7:H$102),"")</f>
        <v/>
      </c>
      <c r="J64" s="379"/>
      <c r="K64" s="228"/>
      <c r="L64" s="379"/>
      <c r="M64" s="228" t="str">
        <f>IFERROR(RANK(L64,L$7:L$102),"")</f>
        <v/>
      </c>
      <c r="N64" s="381"/>
      <c r="O64" s="228" t="str">
        <f>IFERROR(RANK(N64,N$7:N$102),"")</f>
        <v/>
      </c>
      <c r="P64" s="379"/>
      <c r="Q64" s="228" t="str">
        <f>IFERROR(IF(F64&gt;0,RANK(P64,P$7:P$102,1),""),"")</f>
        <v/>
      </c>
      <c r="R64" s="379"/>
      <c r="S64" s="228" t="str">
        <f>IFERROR(RANK(R64,R$7:R$102),"")</f>
        <v/>
      </c>
      <c r="T64" s="379"/>
      <c r="U64" s="228" t="str">
        <f>IFERROR(IF(F64&gt;0,RANK(T64,T$7:T$102,0),""),"")</f>
        <v/>
      </c>
      <c r="V64" s="379"/>
      <c r="W64" s="228" t="str">
        <f>IFERROR(IF(F64&gt;0,RANK(V64,V$7:V$102,0),""),"")</f>
        <v/>
      </c>
      <c r="X64" s="727"/>
      <c r="AB64" s="179" t="str">
        <f t="shared" si="0"/>
        <v/>
      </c>
      <c r="AC64" s="179" t="str">
        <f t="shared" si="1"/>
        <v/>
      </c>
    </row>
    <row r="65" spans="6:29" s="179" customFormat="1" ht="12">
      <c r="F65" s="381"/>
      <c r="G65" s="228" t="str">
        <f>IFERROR(RANK(F65,F$7:F$102),"")</f>
        <v/>
      </c>
      <c r="H65" s="379"/>
      <c r="I65" s="228" t="str">
        <f>IFERROR(RANK(H65,H$7:H$102),"")</f>
        <v/>
      </c>
      <c r="J65" s="379"/>
      <c r="K65" s="228"/>
      <c r="L65" s="379"/>
      <c r="M65" s="228" t="str">
        <f>IFERROR(RANK(L65,L$7:L$102),"")</f>
        <v/>
      </c>
      <c r="N65" s="381"/>
      <c r="O65" s="228" t="str">
        <f>IFERROR(RANK(N65,N$7:N$102),"")</f>
        <v/>
      </c>
      <c r="P65" s="379"/>
      <c r="Q65" s="228" t="str">
        <f>IFERROR(IF(F65&gt;0,RANK(P65,P$7:P$102,1),""),"")</f>
        <v/>
      </c>
      <c r="R65" s="379"/>
      <c r="S65" s="228" t="str">
        <f>IFERROR(RANK(R65,R$7:R$102),"")</f>
        <v/>
      </c>
      <c r="T65" s="379"/>
      <c r="U65" s="228" t="str">
        <f>IFERROR(IF(F65&gt;0,RANK(T65,T$7:T$102,0),""),"")</f>
        <v/>
      </c>
      <c r="V65" s="379"/>
      <c r="W65" s="228" t="str">
        <f>IFERROR(IF(F65&gt;0,RANK(V65,V$7:V$102,0),""),"")</f>
        <v/>
      </c>
      <c r="X65" s="727"/>
      <c r="AB65" s="179" t="str">
        <f t="shared" si="0"/>
        <v/>
      </c>
      <c r="AC65" s="179" t="str">
        <f t="shared" si="1"/>
        <v/>
      </c>
    </row>
    <row r="66" spans="6:29" s="179" customFormat="1" ht="12">
      <c r="F66" s="381"/>
      <c r="G66" s="228" t="str">
        <f>IFERROR(RANK(F66,F$7:F$102),"")</f>
        <v/>
      </c>
      <c r="H66" s="379"/>
      <c r="I66" s="228" t="str">
        <f>IFERROR(RANK(H66,H$7:H$102),"")</f>
        <v/>
      </c>
      <c r="J66" s="379"/>
      <c r="K66" s="228"/>
      <c r="L66" s="379"/>
      <c r="M66" s="228" t="str">
        <f>IFERROR(RANK(L66,L$7:L$102),"")</f>
        <v/>
      </c>
      <c r="N66" s="381"/>
      <c r="O66" s="228" t="str">
        <f>IFERROR(RANK(N66,N$7:N$102),"")</f>
        <v/>
      </c>
      <c r="P66" s="379"/>
      <c r="Q66" s="228" t="str">
        <f>IFERROR(IF(F66&gt;0,RANK(P66,P$7:P$102,1),""),"")</f>
        <v/>
      </c>
      <c r="R66" s="379"/>
      <c r="S66" s="228" t="str">
        <f>IFERROR(RANK(R66,R$7:R$102),"")</f>
        <v/>
      </c>
      <c r="T66" s="379"/>
      <c r="U66" s="228" t="str">
        <f>IFERROR(IF(F66&gt;0,RANK(T66,T$7:T$102,0),""),"")</f>
        <v/>
      </c>
      <c r="V66" s="379"/>
      <c r="W66" s="228" t="str">
        <f>IFERROR(IF(F66&gt;0,RANK(V66,V$7:V$102,0),""),"")</f>
        <v/>
      </c>
      <c r="X66" s="727"/>
      <c r="AB66" s="179" t="str">
        <f t="shared" si="0"/>
        <v/>
      </c>
      <c r="AC66" s="179" t="str">
        <f t="shared" si="1"/>
        <v/>
      </c>
    </row>
    <row r="67" spans="6:29" s="179" customFormat="1" ht="12">
      <c r="F67" s="381"/>
      <c r="G67" s="228" t="str">
        <f>IFERROR(RANK(F67,F$7:F$102),"")</f>
        <v/>
      </c>
      <c r="H67" s="379"/>
      <c r="I67" s="228" t="str">
        <f>IFERROR(RANK(H67,H$7:H$102),"")</f>
        <v/>
      </c>
      <c r="J67" s="379"/>
      <c r="K67" s="228"/>
      <c r="L67" s="379"/>
      <c r="M67" s="228" t="str">
        <f>IFERROR(RANK(L67,L$7:L$102),"")</f>
        <v/>
      </c>
      <c r="N67" s="381"/>
      <c r="O67" s="228" t="str">
        <f>IFERROR(RANK(N67,N$7:N$102),"")</f>
        <v/>
      </c>
      <c r="P67" s="379"/>
      <c r="Q67" s="228" t="str">
        <f>IFERROR(IF(F67&gt;0,RANK(P67,P$7:P$102,1),""),"")</f>
        <v/>
      </c>
      <c r="R67" s="379"/>
      <c r="S67" s="228" t="str">
        <f>IFERROR(RANK(R67,R$7:R$102),"")</f>
        <v/>
      </c>
      <c r="T67" s="379"/>
      <c r="U67" s="228" t="str">
        <f>IFERROR(IF(F67&gt;0,RANK(T67,T$7:T$102,0),""),"")</f>
        <v/>
      </c>
      <c r="V67" s="379"/>
      <c r="W67" s="228" t="str">
        <f>IFERROR(IF(F67&gt;0,RANK(V67,V$7:V$102,0),""),"")</f>
        <v/>
      </c>
      <c r="X67" s="727"/>
      <c r="AB67" s="179" t="str">
        <f t="shared" si="0"/>
        <v/>
      </c>
      <c r="AC67" s="179" t="str">
        <f t="shared" si="1"/>
        <v/>
      </c>
    </row>
    <row r="68" spans="6:29" s="179" customFormat="1" ht="12">
      <c r="F68" s="381"/>
      <c r="G68" s="228" t="str">
        <f>IFERROR(RANK(F68,F$7:F$102),"")</f>
        <v/>
      </c>
      <c r="H68" s="379"/>
      <c r="I68" s="228" t="str">
        <f>IFERROR(RANK(H68,H$7:H$102),"")</f>
        <v/>
      </c>
      <c r="J68" s="379"/>
      <c r="K68" s="228"/>
      <c r="L68" s="379"/>
      <c r="M68" s="228" t="str">
        <f>IFERROR(RANK(L68,L$7:L$102),"")</f>
        <v/>
      </c>
      <c r="N68" s="381"/>
      <c r="O68" s="228" t="str">
        <f>IFERROR(RANK(N68,N$7:N$102),"")</f>
        <v/>
      </c>
      <c r="P68" s="379"/>
      <c r="Q68" s="228" t="str">
        <f>IFERROR(IF(F68&gt;0,RANK(P68,P$7:P$102,1),""),"")</f>
        <v/>
      </c>
      <c r="R68" s="379"/>
      <c r="S68" s="228" t="str">
        <f>IFERROR(RANK(R68,R$7:R$102),"")</f>
        <v/>
      </c>
      <c r="T68" s="379"/>
      <c r="U68" s="228" t="str">
        <f>IFERROR(IF(F68&gt;0,RANK(T68,T$7:T$102,0),""),"")</f>
        <v/>
      </c>
      <c r="V68" s="379"/>
      <c r="W68" s="228" t="str">
        <f>IFERROR(IF(F68&gt;0,RANK(V68,V$7:V$102,0),""),"")</f>
        <v/>
      </c>
      <c r="X68" s="727"/>
      <c r="AB68" s="179" t="str">
        <f t="shared" si="0"/>
        <v/>
      </c>
      <c r="AC68" s="179" t="str">
        <f t="shared" si="1"/>
        <v/>
      </c>
    </row>
    <row r="69" spans="6:29" s="179" customFormat="1" ht="12">
      <c r="F69" s="381"/>
      <c r="G69" s="228" t="str">
        <f>IFERROR(RANK(F69,F$7:F$102),"")</f>
        <v/>
      </c>
      <c r="H69" s="379"/>
      <c r="I69" s="228" t="str">
        <f>IFERROR(RANK(H69,H$7:H$102),"")</f>
        <v/>
      </c>
      <c r="J69" s="379"/>
      <c r="K69" s="228"/>
      <c r="L69" s="379"/>
      <c r="M69" s="228" t="str">
        <f>IFERROR(RANK(L69,L$7:L$102),"")</f>
        <v/>
      </c>
      <c r="N69" s="381"/>
      <c r="O69" s="228" t="str">
        <f>IFERROR(RANK(N69,N$7:N$102),"")</f>
        <v/>
      </c>
      <c r="P69" s="379"/>
      <c r="Q69" s="228" t="str">
        <f>IFERROR(IF(F69&gt;0,RANK(P69,P$7:P$102,1),""),"")</f>
        <v/>
      </c>
      <c r="R69" s="379"/>
      <c r="S69" s="228" t="str">
        <f>IFERROR(RANK(R69,R$7:R$102),"")</f>
        <v/>
      </c>
      <c r="T69" s="379"/>
      <c r="U69" s="228" t="str">
        <f>IFERROR(IF(F69&gt;0,RANK(T69,T$7:T$102,0),""),"")</f>
        <v/>
      </c>
      <c r="V69" s="379"/>
      <c r="W69" s="228" t="str">
        <f>IFERROR(IF(F69&gt;0,RANK(V69,V$7:V$102,0),""),"")</f>
        <v/>
      </c>
      <c r="X69" s="727"/>
      <c r="AB69" s="179" t="str">
        <f t="shared" si="0"/>
        <v/>
      </c>
      <c r="AC69" s="179" t="str">
        <f t="shared" si="1"/>
        <v/>
      </c>
    </row>
    <row r="70" spans="6:29" s="179" customFormat="1" ht="12">
      <c r="F70" s="381"/>
      <c r="G70" s="228" t="str">
        <f>IFERROR(RANK(F70,F$7:F$102),"")</f>
        <v/>
      </c>
      <c r="H70" s="379"/>
      <c r="I70" s="228" t="str">
        <f>IFERROR(RANK(H70,H$7:H$102),"")</f>
        <v/>
      </c>
      <c r="J70" s="379"/>
      <c r="K70" s="228"/>
      <c r="L70" s="379"/>
      <c r="M70" s="228" t="str">
        <f>IFERROR(RANK(L70,L$7:L$102),"")</f>
        <v/>
      </c>
      <c r="N70" s="381"/>
      <c r="O70" s="228" t="str">
        <f>IFERROR(RANK(N70,N$7:N$102),"")</f>
        <v/>
      </c>
      <c r="P70" s="379"/>
      <c r="Q70" s="228" t="str">
        <f>IFERROR(IF(F70&gt;0,RANK(P70,P$7:P$102,1),""),"")</f>
        <v/>
      </c>
      <c r="R70" s="379"/>
      <c r="S70" s="228" t="str">
        <f>IFERROR(RANK(R70,R$7:R$102),"")</f>
        <v/>
      </c>
      <c r="T70" s="379"/>
      <c r="U70" s="228" t="str">
        <f>IFERROR(IF(F70&gt;0,RANK(T70,T$7:T$102,0),""),"")</f>
        <v/>
      </c>
      <c r="V70" s="379"/>
      <c r="W70" s="228" t="str">
        <f>IFERROR(IF(F70&gt;0,RANK(V70,V$7:V$102,0),""),"")</f>
        <v/>
      </c>
      <c r="X70" s="727"/>
      <c r="AB70" s="179" t="str">
        <f t="shared" si="0"/>
        <v/>
      </c>
      <c r="AC70" s="179" t="str">
        <f t="shared" si="1"/>
        <v/>
      </c>
    </row>
    <row r="71" spans="6:29" s="179" customFormat="1" ht="12">
      <c r="F71" s="381"/>
      <c r="G71" s="228" t="str">
        <f>IFERROR(RANK(F71,F$7:F$102),"")</f>
        <v/>
      </c>
      <c r="H71" s="379"/>
      <c r="I71" s="228" t="str">
        <f>IFERROR(RANK(H71,H$7:H$102),"")</f>
        <v/>
      </c>
      <c r="J71" s="379"/>
      <c r="K71" s="228"/>
      <c r="L71" s="379"/>
      <c r="M71" s="228" t="str">
        <f>IFERROR(RANK(L71,L$7:L$102),"")</f>
        <v/>
      </c>
      <c r="N71" s="381"/>
      <c r="O71" s="228" t="str">
        <f>IFERROR(RANK(N71,N$7:N$102),"")</f>
        <v/>
      </c>
      <c r="P71" s="379"/>
      <c r="Q71" s="228" t="str">
        <f>IFERROR(IF(F71&gt;0,RANK(P71,P$7:P$102,1),""),"")</f>
        <v/>
      </c>
      <c r="R71" s="379"/>
      <c r="S71" s="228" t="str">
        <f>IFERROR(RANK(R71,R$7:R$102),"")</f>
        <v/>
      </c>
      <c r="T71" s="379"/>
      <c r="U71" s="228" t="str">
        <f>IFERROR(IF(F71&gt;0,RANK(T71,T$7:T$102,0),""),"")</f>
        <v/>
      </c>
      <c r="V71" s="379"/>
      <c r="W71" s="228" t="str">
        <f>IFERROR(IF(F71&gt;0,RANK(V71,V$7:V$102,0),""),"")</f>
        <v/>
      </c>
      <c r="X71" s="727"/>
      <c r="AB71" s="179" t="str">
        <f t="shared" si="0"/>
        <v/>
      </c>
      <c r="AC71" s="179" t="str">
        <f t="shared" si="1"/>
        <v/>
      </c>
    </row>
    <row r="72" spans="6:29" s="179" customFormat="1" ht="12">
      <c r="F72" s="381"/>
      <c r="G72" s="228" t="str">
        <f>IFERROR(RANK(F72,F$7:F$102),"")</f>
        <v/>
      </c>
      <c r="H72" s="379"/>
      <c r="I72" s="228" t="str">
        <f>IFERROR(RANK(H72,H$7:H$102),"")</f>
        <v/>
      </c>
      <c r="J72" s="379"/>
      <c r="K72" s="228"/>
      <c r="L72" s="379"/>
      <c r="M72" s="228" t="str">
        <f>IFERROR(RANK(L72,L$7:L$102),"")</f>
        <v/>
      </c>
      <c r="N72" s="381"/>
      <c r="O72" s="228" t="str">
        <f>IFERROR(RANK(N72,N$7:N$102),"")</f>
        <v/>
      </c>
      <c r="P72" s="379"/>
      <c r="Q72" s="228" t="str">
        <f>IFERROR(IF(F72&gt;0,RANK(P72,P$7:P$102,1),""),"")</f>
        <v/>
      </c>
      <c r="R72" s="379"/>
      <c r="S72" s="228" t="str">
        <f>IFERROR(RANK(R72,R$7:R$102),"")</f>
        <v/>
      </c>
      <c r="T72" s="379"/>
      <c r="U72" s="228" t="str">
        <f>IFERROR(IF(F72&gt;0,RANK(T72,T$7:T$102,0),""),"")</f>
        <v/>
      </c>
      <c r="V72" s="379"/>
      <c r="W72" s="228" t="str">
        <f>IFERROR(IF(F72&gt;0,RANK(V72,V$7:V$102,0),""),"")</f>
        <v/>
      </c>
      <c r="X72" s="727"/>
      <c r="AB72" s="179" t="str">
        <f t="shared" ref="AB72:AB103" si="2">I72</f>
        <v/>
      </c>
      <c r="AC72" s="179" t="str">
        <f t="shared" ref="AC72:AC103" si="3">W72</f>
        <v/>
      </c>
    </row>
    <row r="73" spans="6:29" s="179" customFormat="1" ht="12">
      <c r="F73" s="381"/>
      <c r="G73" s="228" t="str">
        <f>IFERROR(RANK(F73,F$7:F$102),"")</f>
        <v/>
      </c>
      <c r="H73" s="379"/>
      <c r="I73" s="228" t="str">
        <f>IFERROR(RANK(H73,H$7:H$102),"")</f>
        <v/>
      </c>
      <c r="J73" s="379"/>
      <c r="K73" s="228"/>
      <c r="L73" s="379"/>
      <c r="M73" s="228" t="str">
        <f>IFERROR(RANK(L73,L$7:L$102),"")</f>
        <v/>
      </c>
      <c r="N73" s="381"/>
      <c r="O73" s="228" t="str">
        <f>IFERROR(RANK(N73,N$7:N$102),"")</f>
        <v/>
      </c>
      <c r="P73" s="379"/>
      <c r="Q73" s="228" t="str">
        <f>IFERROR(IF(F73&gt;0,RANK(P73,P$7:P$102,1),""),"")</f>
        <v/>
      </c>
      <c r="R73" s="379"/>
      <c r="S73" s="228" t="str">
        <f>IFERROR(RANK(R73,R$7:R$102),"")</f>
        <v/>
      </c>
      <c r="T73" s="379"/>
      <c r="U73" s="228" t="str">
        <f>IFERROR(IF(F73&gt;0,RANK(T73,T$7:T$102,0),""),"")</f>
        <v/>
      </c>
      <c r="V73" s="379"/>
      <c r="W73" s="228" t="str">
        <f>IFERROR(IF(F73&gt;0,RANK(V73,V$7:V$102,0),""),"")</f>
        <v/>
      </c>
      <c r="X73" s="727"/>
      <c r="AB73" s="179" t="str">
        <f t="shared" si="2"/>
        <v/>
      </c>
      <c r="AC73" s="179" t="str">
        <f t="shared" si="3"/>
        <v/>
      </c>
    </row>
    <row r="74" spans="6:29" s="179" customFormat="1" ht="12">
      <c r="F74" s="381"/>
      <c r="G74" s="228" t="str">
        <f>IFERROR(RANK(F74,F$7:F$102),"")</f>
        <v/>
      </c>
      <c r="H74" s="379"/>
      <c r="I74" s="228" t="str">
        <f>IFERROR(RANK(H74,H$7:H$102),"")</f>
        <v/>
      </c>
      <c r="J74" s="379"/>
      <c r="K74" s="228"/>
      <c r="L74" s="379"/>
      <c r="M74" s="228" t="str">
        <f>IFERROR(RANK(L74,L$7:L$102),"")</f>
        <v/>
      </c>
      <c r="N74" s="381"/>
      <c r="O74" s="228" t="str">
        <f>IFERROR(RANK(N74,N$7:N$102),"")</f>
        <v/>
      </c>
      <c r="P74" s="379"/>
      <c r="Q74" s="228" t="str">
        <f>IFERROR(IF(F74&gt;0,RANK(P74,P$7:P$102,1),""),"")</f>
        <v/>
      </c>
      <c r="R74" s="379"/>
      <c r="S74" s="228" t="str">
        <f>IFERROR(RANK(R74,R$7:R$102),"")</f>
        <v/>
      </c>
      <c r="T74" s="379"/>
      <c r="U74" s="228" t="str">
        <f>IFERROR(IF(F74&gt;0,RANK(T74,T$7:T$102,0),""),"")</f>
        <v/>
      </c>
      <c r="V74" s="379"/>
      <c r="W74" s="228" t="str">
        <f>IFERROR(IF(F74&gt;0,RANK(V74,V$7:V$102,0),""),"")</f>
        <v/>
      </c>
      <c r="X74" s="727"/>
      <c r="AB74" s="179" t="str">
        <f t="shared" si="2"/>
        <v/>
      </c>
      <c r="AC74" s="179" t="str">
        <f t="shared" si="3"/>
        <v/>
      </c>
    </row>
    <row r="75" spans="6:29" s="179" customFormat="1" ht="12">
      <c r="F75" s="381"/>
      <c r="G75" s="228" t="str">
        <f>IFERROR(RANK(F75,F$7:F$102),"")</f>
        <v/>
      </c>
      <c r="H75" s="379"/>
      <c r="I75" s="228" t="str">
        <f>IFERROR(RANK(H75,H$7:H$102),"")</f>
        <v/>
      </c>
      <c r="J75" s="379"/>
      <c r="K75" s="228"/>
      <c r="L75" s="379"/>
      <c r="M75" s="228" t="str">
        <f>IFERROR(RANK(L75,L$7:L$102),"")</f>
        <v/>
      </c>
      <c r="N75" s="381"/>
      <c r="O75" s="228" t="str">
        <f>IFERROR(RANK(N75,N$7:N$102),"")</f>
        <v/>
      </c>
      <c r="P75" s="379"/>
      <c r="Q75" s="228" t="str">
        <f>IFERROR(IF(F75&gt;0,RANK(P75,P$7:P$102,1),""),"")</f>
        <v/>
      </c>
      <c r="R75" s="379"/>
      <c r="S75" s="228" t="str">
        <f>IFERROR(RANK(R75,R$7:R$102),"")</f>
        <v/>
      </c>
      <c r="T75" s="379"/>
      <c r="U75" s="228" t="str">
        <f>IFERROR(IF(F75&gt;0,RANK(T75,T$7:T$102,0),""),"")</f>
        <v/>
      </c>
      <c r="V75" s="379"/>
      <c r="W75" s="228" t="str">
        <f>IFERROR(IF(F75&gt;0,RANK(V75,V$7:V$102,0),""),"")</f>
        <v/>
      </c>
      <c r="X75" s="727"/>
      <c r="AB75" s="179" t="str">
        <f t="shared" si="2"/>
        <v/>
      </c>
      <c r="AC75" s="179" t="str">
        <f t="shared" si="3"/>
        <v/>
      </c>
    </row>
    <row r="76" spans="6:29" s="179" customFormat="1" ht="12">
      <c r="F76" s="381"/>
      <c r="G76" s="228" t="str">
        <f>IFERROR(RANK(F76,F$7:F$102),"")</f>
        <v/>
      </c>
      <c r="H76" s="379"/>
      <c r="I76" s="228" t="str">
        <f>IFERROR(RANK(H76,H$7:H$102),"")</f>
        <v/>
      </c>
      <c r="J76" s="379"/>
      <c r="K76" s="228"/>
      <c r="L76" s="379"/>
      <c r="M76" s="228" t="str">
        <f>IFERROR(RANK(L76,L$7:L$102),"")</f>
        <v/>
      </c>
      <c r="N76" s="381"/>
      <c r="O76" s="228" t="str">
        <f>IFERROR(RANK(N76,N$7:N$102),"")</f>
        <v/>
      </c>
      <c r="P76" s="379"/>
      <c r="Q76" s="228" t="str">
        <f>IFERROR(IF(F76&gt;0,RANK(P76,P$7:P$102,1),""),"")</f>
        <v/>
      </c>
      <c r="R76" s="379"/>
      <c r="S76" s="228" t="str">
        <f>IFERROR(RANK(R76,R$7:R$102),"")</f>
        <v/>
      </c>
      <c r="T76" s="379"/>
      <c r="U76" s="228" t="str">
        <f>IFERROR(IF(F76&gt;0,RANK(T76,T$7:T$102,0),""),"")</f>
        <v/>
      </c>
      <c r="V76" s="379"/>
      <c r="W76" s="228" t="str">
        <f>IFERROR(IF(F76&gt;0,RANK(V76,V$7:V$102,0),""),"")</f>
        <v/>
      </c>
      <c r="X76" s="727"/>
      <c r="AB76" s="179" t="str">
        <f t="shared" si="2"/>
        <v/>
      </c>
      <c r="AC76" s="179" t="str">
        <f t="shared" si="3"/>
        <v/>
      </c>
    </row>
    <row r="77" spans="6:29" s="179" customFormat="1" ht="12">
      <c r="F77" s="381"/>
      <c r="G77" s="228" t="str">
        <f>IFERROR(RANK(F77,F$7:F$102),"")</f>
        <v/>
      </c>
      <c r="H77" s="379"/>
      <c r="I77" s="228" t="str">
        <f>IFERROR(RANK(H77,H$7:H$102),"")</f>
        <v/>
      </c>
      <c r="J77" s="379"/>
      <c r="K77" s="228"/>
      <c r="L77" s="379"/>
      <c r="M77" s="228" t="str">
        <f>IFERROR(RANK(L77,L$7:L$102),"")</f>
        <v/>
      </c>
      <c r="N77" s="381"/>
      <c r="O77" s="228" t="str">
        <f>IFERROR(RANK(N77,N$7:N$102),"")</f>
        <v/>
      </c>
      <c r="P77" s="379"/>
      <c r="Q77" s="228" t="str">
        <f>IFERROR(IF(F77&gt;0,RANK(P77,P$7:P$102,1),""),"")</f>
        <v/>
      </c>
      <c r="R77" s="379"/>
      <c r="S77" s="228" t="str">
        <f>IFERROR(RANK(R77,R$7:R$102),"")</f>
        <v/>
      </c>
      <c r="T77" s="379"/>
      <c r="U77" s="228" t="str">
        <f>IFERROR(IF(F77&gt;0,RANK(T77,T$7:T$102,0),""),"")</f>
        <v/>
      </c>
      <c r="V77" s="379"/>
      <c r="W77" s="228" t="str">
        <f>IFERROR(IF(F77&gt;0,RANK(V77,V$7:V$102,0),""),"")</f>
        <v/>
      </c>
      <c r="X77" s="727"/>
      <c r="AB77" s="179" t="str">
        <f t="shared" si="2"/>
        <v/>
      </c>
      <c r="AC77" s="179" t="str">
        <f t="shared" si="3"/>
        <v/>
      </c>
    </row>
    <row r="78" spans="6:29" s="179" customFormat="1" ht="12">
      <c r="F78" s="381"/>
      <c r="G78" s="228" t="str">
        <f>IFERROR(RANK(F78,F$7:F$102),"")</f>
        <v/>
      </c>
      <c r="H78" s="379"/>
      <c r="I78" s="228" t="str">
        <f>IFERROR(RANK(H78,H$7:H$102),"")</f>
        <v/>
      </c>
      <c r="J78" s="379"/>
      <c r="K78" s="228"/>
      <c r="L78" s="379"/>
      <c r="M78" s="228" t="str">
        <f>IFERROR(RANK(L78,L$7:L$102),"")</f>
        <v/>
      </c>
      <c r="N78" s="381"/>
      <c r="O78" s="228" t="str">
        <f>IFERROR(RANK(N78,N$7:N$102),"")</f>
        <v/>
      </c>
      <c r="P78" s="379"/>
      <c r="Q78" s="228" t="str">
        <f>IFERROR(IF(F78&gt;0,RANK(P78,P$7:P$102,1),""),"")</f>
        <v/>
      </c>
      <c r="R78" s="379"/>
      <c r="S78" s="228" t="str">
        <f>IFERROR(RANK(R78,R$7:R$102),"")</f>
        <v/>
      </c>
      <c r="T78" s="379"/>
      <c r="U78" s="228" t="str">
        <f>IFERROR(IF(F78&gt;0,RANK(T78,T$7:T$102,0),""),"")</f>
        <v/>
      </c>
      <c r="V78" s="379"/>
      <c r="W78" s="228" t="str">
        <f>IFERROR(IF(F78&gt;0,RANK(V78,V$7:V$102,0),""),"")</f>
        <v/>
      </c>
      <c r="X78" s="727"/>
      <c r="AB78" s="179" t="str">
        <f t="shared" si="2"/>
        <v/>
      </c>
      <c r="AC78" s="179" t="str">
        <f t="shared" si="3"/>
        <v/>
      </c>
    </row>
    <row r="79" spans="6:29" s="179" customFormat="1" ht="12">
      <c r="F79" s="381"/>
      <c r="G79" s="228" t="str">
        <f>IFERROR(RANK(F79,F$7:F$102),"")</f>
        <v/>
      </c>
      <c r="H79" s="379"/>
      <c r="I79" s="228" t="str">
        <f>IFERROR(RANK(H79,H$7:H$102),"")</f>
        <v/>
      </c>
      <c r="J79" s="379"/>
      <c r="K79" s="228"/>
      <c r="L79" s="379"/>
      <c r="M79" s="228" t="str">
        <f>IFERROR(RANK(L79,L$7:L$102),"")</f>
        <v/>
      </c>
      <c r="N79" s="381"/>
      <c r="O79" s="228" t="str">
        <f>IFERROR(RANK(N79,N$7:N$102),"")</f>
        <v/>
      </c>
      <c r="P79" s="379"/>
      <c r="Q79" s="228" t="str">
        <f>IFERROR(IF(F79&gt;0,RANK(P79,P$7:P$102,1),""),"")</f>
        <v/>
      </c>
      <c r="R79" s="379"/>
      <c r="S79" s="228" t="str">
        <f>IFERROR(RANK(R79,R$7:R$102),"")</f>
        <v/>
      </c>
      <c r="T79" s="379"/>
      <c r="U79" s="228" t="str">
        <f>IFERROR(IF(F79&gt;0,RANK(T79,T$7:T$102,0),""),"")</f>
        <v/>
      </c>
      <c r="V79" s="379"/>
      <c r="W79" s="228" t="str">
        <f>IFERROR(IF(F79&gt;0,RANK(V79,V$7:V$102,0),""),"")</f>
        <v/>
      </c>
      <c r="X79" s="727"/>
      <c r="AB79" s="179" t="str">
        <f t="shared" si="2"/>
        <v/>
      </c>
      <c r="AC79" s="179" t="str">
        <f t="shared" si="3"/>
        <v/>
      </c>
    </row>
    <row r="80" spans="6:29" s="179" customFormat="1" ht="12">
      <c r="F80" s="381"/>
      <c r="G80" s="228" t="str">
        <f>IFERROR(RANK(F80,F$7:F$102),"")</f>
        <v/>
      </c>
      <c r="H80" s="379"/>
      <c r="I80" s="228" t="str">
        <f>IFERROR(RANK(H80,H$7:H$102),"")</f>
        <v/>
      </c>
      <c r="J80" s="379"/>
      <c r="K80" s="228"/>
      <c r="L80" s="379"/>
      <c r="M80" s="228" t="str">
        <f>IFERROR(RANK(L80,L$7:L$102),"")</f>
        <v/>
      </c>
      <c r="N80" s="381"/>
      <c r="O80" s="228" t="str">
        <f>IFERROR(RANK(N80,N$7:N$102),"")</f>
        <v/>
      </c>
      <c r="P80" s="379"/>
      <c r="Q80" s="228" t="str">
        <f>IFERROR(IF(F80&gt;0,RANK(P80,P$7:P$102,1),""),"")</f>
        <v/>
      </c>
      <c r="R80" s="379"/>
      <c r="S80" s="228" t="str">
        <f>IFERROR(RANK(R80,R$7:R$102),"")</f>
        <v/>
      </c>
      <c r="T80" s="379"/>
      <c r="U80" s="228" t="str">
        <f>IFERROR(IF(F80&gt;0,RANK(T80,T$7:T$102,0),""),"")</f>
        <v/>
      </c>
      <c r="V80" s="379"/>
      <c r="W80" s="228" t="str">
        <f>IFERROR(IF(F80&gt;0,RANK(V80,V$7:V$102,0),""),"")</f>
        <v/>
      </c>
      <c r="X80" s="727"/>
      <c r="AB80" s="179" t="str">
        <f t="shared" si="2"/>
        <v/>
      </c>
      <c r="AC80" s="179" t="str">
        <f t="shared" si="3"/>
        <v/>
      </c>
    </row>
    <row r="81" spans="6:29" s="179" customFormat="1" ht="12">
      <c r="F81" s="381"/>
      <c r="G81" s="228" t="str">
        <f>IFERROR(RANK(F81,F$7:F$102),"")</f>
        <v/>
      </c>
      <c r="H81" s="379"/>
      <c r="I81" s="228" t="str">
        <f>IFERROR(RANK(H81,H$7:H$102),"")</f>
        <v/>
      </c>
      <c r="J81" s="379"/>
      <c r="K81" s="228"/>
      <c r="L81" s="379"/>
      <c r="M81" s="228" t="str">
        <f>IFERROR(RANK(L81,L$7:L$102),"")</f>
        <v/>
      </c>
      <c r="N81" s="381"/>
      <c r="O81" s="228" t="str">
        <f>IFERROR(RANK(N81,N$7:N$102),"")</f>
        <v/>
      </c>
      <c r="P81" s="379"/>
      <c r="Q81" s="228" t="str">
        <f>IFERROR(IF(F81&gt;0,RANK(P81,P$7:P$102,1),""),"")</f>
        <v/>
      </c>
      <c r="R81" s="379"/>
      <c r="S81" s="228" t="str">
        <f>IFERROR(RANK(R81,R$7:R$102),"")</f>
        <v/>
      </c>
      <c r="T81" s="379"/>
      <c r="U81" s="228" t="str">
        <f>IFERROR(IF(F81&gt;0,RANK(T81,T$7:T$102,0),""),"")</f>
        <v/>
      </c>
      <c r="V81" s="379"/>
      <c r="W81" s="228" t="str">
        <f>IFERROR(IF(F81&gt;0,RANK(V81,V$7:V$102,0),""),"")</f>
        <v/>
      </c>
      <c r="X81" s="727"/>
      <c r="AB81" s="179" t="str">
        <f t="shared" si="2"/>
        <v/>
      </c>
      <c r="AC81" s="179" t="str">
        <f t="shared" si="3"/>
        <v/>
      </c>
    </row>
    <row r="82" spans="6:29" s="179" customFormat="1" ht="12">
      <c r="F82" s="381"/>
      <c r="G82" s="228" t="str">
        <f>IFERROR(RANK(F82,F$7:F$102),"")</f>
        <v/>
      </c>
      <c r="H82" s="379"/>
      <c r="I82" s="228" t="str">
        <f>IFERROR(RANK(H82,H$7:H$102),"")</f>
        <v/>
      </c>
      <c r="J82" s="379"/>
      <c r="K82" s="228"/>
      <c r="L82" s="379"/>
      <c r="M82" s="228" t="str">
        <f>IFERROR(RANK(L82,L$7:L$102),"")</f>
        <v/>
      </c>
      <c r="N82" s="381"/>
      <c r="O82" s="228" t="str">
        <f>IFERROR(RANK(N82,N$7:N$102),"")</f>
        <v/>
      </c>
      <c r="P82" s="379"/>
      <c r="Q82" s="228" t="str">
        <f>IFERROR(IF(F82&gt;0,RANK(P82,P$7:P$102,1),""),"")</f>
        <v/>
      </c>
      <c r="R82" s="379"/>
      <c r="S82" s="228" t="str">
        <f>IFERROR(RANK(R82,R$7:R$102),"")</f>
        <v/>
      </c>
      <c r="T82" s="379"/>
      <c r="U82" s="228" t="str">
        <f>IFERROR(IF(F82&gt;0,RANK(T82,T$7:T$102,0),""),"")</f>
        <v/>
      </c>
      <c r="V82" s="379"/>
      <c r="W82" s="228" t="str">
        <f>IFERROR(IF(F82&gt;0,RANK(V82,V$7:V$102,0),""),"")</f>
        <v/>
      </c>
      <c r="X82" s="727"/>
      <c r="AB82" s="179" t="str">
        <f t="shared" si="2"/>
        <v/>
      </c>
      <c r="AC82" s="179" t="str">
        <f t="shared" si="3"/>
        <v/>
      </c>
    </row>
    <row r="83" spans="6:29" s="179" customFormat="1" ht="12">
      <c r="F83" s="381"/>
      <c r="G83" s="228" t="str">
        <f>IFERROR(RANK(F83,F$7:F$102),"")</f>
        <v/>
      </c>
      <c r="H83" s="379"/>
      <c r="I83" s="228" t="str">
        <f>IFERROR(RANK(H83,H$7:H$102),"")</f>
        <v/>
      </c>
      <c r="J83" s="379"/>
      <c r="K83" s="228"/>
      <c r="L83" s="379"/>
      <c r="M83" s="228" t="str">
        <f>IFERROR(RANK(L83,L$7:L$102),"")</f>
        <v/>
      </c>
      <c r="N83" s="381"/>
      <c r="O83" s="228" t="str">
        <f>IFERROR(RANK(N83,N$7:N$102),"")</f>
        <v/>
      </c>
      <c r="P83" s="379"/>
      <c r="Q83" s="228" t="str">
        <f>IFERROR(IF(F83&gt;0,RANK(P83,P$7:P$102,1),""),"")</f>
        <v/>
      </c>
      <c r="R83" s="379"/>
      <c r="S83" s="228" t="str">
        <f>IFERROR(RANK(R83,R$7:R$102),"")</f>
        <v/>
      </c>
      <c r="T83" s="379"/>
      <c r="U83" s="228" t="str">
        <f>IFERROR(IF(F83&gt;0,RANK(T83,T$7:T$102,0),""),"")</f>
        <v/>
      </c>
      <c r="V83" s="379"/>
      <c r="W83" s="228" t="str">
        <f>IFERROR(IF(F83&gt;0,RANK(V83,V$7:V$102,0),""),"")</f>
        <v/>
      </c>
      <c r="X83" s="727"/>
      <c r="AB83" s="179" t="str">
        <f t="shared" si="2"/>
        <v/>
      </c>
      <c r="AC83" s="179" t="str">
        <f t="shared" si="3"/>
        <v/>
      </c>
    </row>
    <row r="84" spans="6:29" s="179" customFormat="1" ht="12">
      <c r="F84" s="381"/>
      <c r="G84" s="228" t="str">
        <f>IFERROR(RANK(F84,F$7:F$102),"")</f>
        <v/>
      </c>
      <c r="H84" s="379"/>
      <c r="I84" s="228" t="str">
        <f>IFERROR(RANK(H84,H$7:H$102),"")</f>
        <v/>
      </c>
      <c r="J84" s="379"/>
      <c r="K84" s="228"/>
      <c r="L84" s="379"/>
      <c r="M84" s="228" t="str">
        <f>IFERROR(RANK(L84,L$7:L$102),"")</f>
        <v/>
      </c>
      <c r="N84" s="381"/>
      <c r="O84" s="228" t="str">
        <f>IFERROR(RANK(N84,N$7:N$102),"")</f>
        <v/>
      </c>
      <c r="P84" s="379"/>
      <c r="Q84" s="228" t="str">
        <f>IFERROR(IF(F84&gt;0,RANK(P84,P$7:P$102,1),""),"")</f>
        <v/>
      </c>
      <c r="R84" s="379"/>
      <c r="S84" s="228" t="str">
        <f>IFERROR(RANK(R84,R$7:R$102),"")</f>
        <v/>
      </c>
      <c r="T84" s="379"/>
      <c r="U84" s="228" t="str">
        <f>IFERROR(IF(F84&gt;0,RANK(T84,T$7:T$102,0),""),"")</f>
        <v/>
      </c>
      <c r="V84" s="379"/>
      <c r="W84" s="228" t="str">
        <f>IFERROR(IF(F84&gt;0,RANK(V84,V$7:V$102,0),""),"")</f>
        <v/>
      </c>
      <c r="X84" s="727"/>
      <c r="AB84" s="179" t="str">
        <f t="shared" si="2"/>
        <v/>
      </c>
      <c r="AC84" s="179" t="str">
        <f t="shared" si="3"/>
        <v/>
      </c>
    </row>
    <row r="85" spans="6:29" s="179" customFormat="1" ht="12">
      <c r="F85" s="381"/>
      <c r="G85" s="228" t="str">
        <f>IFERROR(RANK(F85,F$7:F$102),"")</f>
        <v/>
      </c>
      <c r="H85" s="379"/>
      <c r="I85" s="228" t="str">
        <f>IFERROR(RANK(H85,H$7:H$102),"")</f>
        <v/>
      </c>
      <c r="J85" s="379"/>
      <c r="K85" s="228"/>
      <c r="L85" s="379"/>
      <c r="M85" s="228" t="str">
        <f>IFERROR(RANK(L85,L$7:L$102),"")</f>
        <v/>
      </c>
      <c r="N85" s="381"/>
      <c r="O85" s="228" t="str">
        <f>IFERROR(RANK(N85,N$7:N$102),"")</f>
        <v/>
      </c>
      <c r="P85" s="379"/>
      <c r="Q85" s="228" t="str">
        <f>IFERROR(IF(F85&gt;0,RANK(P85,P$7:P$102,1),""),"")</f>
        <v/>
      </c>
      <c r="R85" s="379"/>
      <c r="S85" s="228" t="str">
        <f>IFERROR(RANK(R85,R$7:R$102),"")</f>
        <v/>
      </c>
      <c r="T85" s="379"/>
      <c r="U85" s="228" t="str">
        <f>IFERROR(IF(F85&gt;0,RANK(T85,T$7:T$102,0),""),"")</f>
        <v/>
      </c>
      <c r="V85" s="379"/>
      <c r="W85" s="228" t="str">
        <f>IFERROR(IF(F85&gt;0,RANK(V85,V$7:V$102,0),""),"")</f>
        <v/>
      </c>
      <c r="X85" s="727"/>
      <c r="AB85" s="179" t="str">
        <f t="shared" si="2"/>
        <v/>
      </c>
      <c r="AC85" s="179" t="str">
        <f t="shared" si="3"/>
        <v/>
      </c>
    </row>
    <row r="86" spans="6:29" s="179" customFormat="1" ht="12">
      <c r="F86" s="381"/>
      <c r="G86" s="228" t="str">
        <f>IFERROR(RANK(F86,F$7:F$102),"")</f>
        <v/>
      </c>
      <c r="H86" s="379"/>
      <c r="I86" s="228" t="str">
        <f>IFERROR(RANK(H86,H$7:H$102),"")</f>
        <v/>
      </c>
      <c r="J86" s="379"/>
      <c r="K86" s="228"/>
      <c r="L86" s="379"/>
      <c r="M86" s="228" t="str">
        <f>IFERROR(RANK(L86,L$7:L$102),"")</f>
        <v/>
      </c>
      <c r="N86" s="381"/>
      <c r="O86" s="228" t="str">
        <f>IFERROR(RANK(N86,N$7:N$102),"")</f>
        <v/>
      </c>
      <c r="P86" s="379"/>
      <c r="Q86" s="228" t="str">
        <f>IFERROR(IF(F86&gt;0,RANK(P86,P$7:P$102,1),""),"")</f>
        <v/>
      </c>
      <c r="R86" s="379"/>
      <c r="S86" s="228" t="str">
        <f>IFERROR(RANK(R86,R$7:R$102),"")</f>
        <v/>
      </c>
      <c r="T86" s="379"/>
      <c r="U86" s="228" t="str">
        <f>IFERROR(IF(F86&gt;0,RANK(T86,T$7:T$102,0),""),"")</f>
        <v/>
      </c>
      <c r="V86" s="379"/>
      <c r="W86" s="228" t="str">
        <f>IFERROR(IF(F86&gt;0,RANK(V86,V$7:V$102,0),""),"")</f>
        <v/>
      </c>
      <c r="X86" s="727"/>
      <c r="AB86" s="179" t="str">
        <f t="shared" si="2"/>
        <v/>
      </c>
      <c r="AC86" s="179" t="str">
        <f t="shared" si="3"/>
        <v/>
      </c>
    </row>
    <row r="87" spans="6:29" s="179" customFormat="1" ht="12">
      <c r="F87" s="381"/>
      <c r="G87" s="228" t="str">
        <f>IFERROR(RANK(F87,F$7:F$102),"")</f>
        <v/>
      </c>
      <c r="H87" s="379"/>
      <c r="I87" s="228" t="str">
        <f>IFERROR(RANK(H87,H$7:H$102),"")</f>
        <v/>
      </c>
      <c r="J87" s="379"/>
      <c r="K87" s="228"/>
      <c r="L87" s="379"/>
      <c r="M87" s="228" t="str">
        <f>IFERROR(RANK(L87,L$7:L$102),"")</f>
        <v/>
      </c>
      <c r="N87" s="381"/>
      <c r="O87" s="228" t="str">
        <f>IFERROR(RANK(N87,N$7:N$102),"")</f>
        <v/>
      </c>
      <c r="P87" s="379"/>
      <c r="Q87" s="228" t="str">
        <f>IFERROR(IF(F87&gt;0,RANK(P87,P$7:P$102,1),""),"")</f>
        <v/>
      </c>
      <c r="R87" s="379"/>
      <c r="S87" s="228" t="str">
        <f>IFERROR(RANK(R87,R$7:R$102),"")</f>
        <v/>
      </c>
      <c r="T87" s="379"/>
      <c r="U87" s="228" t="str">
        <f>IFERROR(IF(F87&gt;0,RANK(T87,T$7:T$102,0),""),"")</f>
        <v/>
      </c>
      <c r="V87" s="379"/>
      <c r="W87" s="228" t="str">
        <f>IFERROR(IF(F87&gt;0,RANK(V87,V$7:V$102,0),""),"")</f>
        <v/>
      </c>
      <c r="X87" s="727"/>
      <c r="AB87" s="179" t="str">
        <f t="shared" si="2"/>
        <v/>
      </c>
      <c r="AC87" s="179" t="str">
        <f t="shared" si="3"/>
        <v/>
      </c>
    </row>
    <row r="88" spans="6:29" s="179" customFormat="1" ht="12">
      <c r="F88" s="381"/>
      <c r="G88" s="228" t="str">
        <f>IFERROR(RANK(F88,F$7:F$102),"")</f>
        <v/>
      </c>
      <c r="H88" s="379"/>
      <c r="I88" s="228" t="str">
        <f>IFERROR(RANK(H88,H$7:H$102),"")</f>
        <v/>
      </c>
      <c r="J88" s="379"/>
      <c r="K88" s="228"/>
      <c r="L88" s="379"/>
      <c r="M88" s="228" t="str">
        <f>IFERROR(RANK(L88,L$7:L$102),"")</f>
        <v/>
      </c>
      <c r="N88" s="381"/>
      <c r="O88" s="228" t="str">
        <f>IFERROR(RANK(N88,N$7:N$102),"")</f>
        <v/>
      </c>
      <c r="P88" s="379"/>
      <c r="Q88" s="228" t="str">
        <f>IFERROR(IF(F88&gt;0,RANK(P88,P$7:P$102,1),""),"")</f>
        <v/>
      </c>
      <c r="R88" s="379"/>
      <c r="S88" s="228" t="str">
        <f>IFERROR(RANK(R88,R$7:R$102),"")</f>
        <v/>
      </c>
      <c r="T88" s="379"/>
      <c r="U88" s="228" t="str">
        <f>IFERROR(IF(F88&gt;0,RANK(T88,T$7:T$102,0),""),"")</f>
        <v/>
      </c>
      <c r="V88" s="379"/>
      <c r="W88" s="228" t="str">
        <f>IFERROR(IF(F88&gt;0,RANK(V88,V$7:V$102,0),""),"")</f>
        <v/>
      </c>
      <c r="X88" s="727"/>
      <c r="AB88" s="179" t="str">
        <f t="shared" si="2"/>
        <v/>
      </c>
      <c r="AC88" s="179" t="str">
        <f t="shared" si="3"/>
        <v/>
      </c>
    </row>
    <row r="89" spans="6:29" s="179" customFormat="1" ht="12">
      <c r="F89" s="381"/>
      <c r="G89" s="228" t="str">
        <f>IFERROR(RANK(F89,F$7:F$102),"")</f>
        <v/>
      </c>
      <c r="H89" s="379"/>
      <c r="I89" s="228" t="str">
        <f>IFERROR(RANK(H89,H$7:H$102),"")</f>
        <v/>
      </c>
      <c r="J89" s="379"/>
      <c r="K89" s="228"/>
      <c r="L89" s="379"/>
      <c r="M89" s="228" t="str">
        <f>IFERROR(RANK(L89,L$7:L$102),"")</f>
        <v/>
      </c>
      <c r="N89" s="381"/>
      <c r="O89" s="228" t="str">
        <f>IFERROR(RANK(N89,N$7:N$102),"")</f>
        <v/>
      </c>
      <c r="P89" s="379"/>
      <c r="Q89" s="228" t="str">
        <f>IFERROR(IF(F89&gt;0,RANK(P89,P$7:P$102,1),""),"")</f>
        <v/>
      </c>
      <c r="R89" s="379"/>
      <c r="S89" s="228" t="str">
        <f>IFERROR(RANK(R89,R$7:R$102),"")</f>
        <v/>
      </c>
      <c r="T89" s="379"/>
      <c r="U89" s="228" t="str">
        <f>IFERROR(IF(F89&gt;0,RANK(T89,T$7:T$102,0),""),"")</f>
        <v/>
      </c>
      <c r="V89" s="379"/>
      <c r="W89" s="228" t="str">
        <f>IFERROR(IF(F89&gt;0,RANK(V89,V$7:V$102,0),""),"")</f>
        <v/>
      </c>
      <c r="X89" s="727"/>
      <c r="AB89" s="179" t="str">
        <f t="shared" si="2"/>
        <v/>
      </c>
      <c r="AC89" s="179" t="str">
        <f t="shared" si="3"/>
        <v/>
      </c>
    </row>
    <row r="90" spans="6:29" s="179" customFormat="1" ht="12">
      <c r="F90" s="381"/>
      <c r="G90" s="228" t="str">
        <f>IFERROR(RANK(F90,F$7:F$102),"")</f>
        <v/>
      </c>
      <c r="H90" s="379"/>
      <c r="I90" s="228" t="str">
        <f>IFERROR(RANK(H90,H$7:H$102),"")</f>
        <v/>
      </c>
      <c r="J90" s="379"/>
      <c r="K90" s="228"/>
      <c r="L90" s="379"/>
      <c r="M90" s="228" t="str">
        <f>IFERROR(RANK(L90,L$7:L$102),"")</f>
        <v/>
      </c>
      <c r="N90" s="381"/>
      <c r="O90" s="228" t="str">
        <f>IFERROR(RANK(N90,N$7:N$102),"")</f>
        <v/>
      </c>
      <c r="P90" s="379"/>
      <c r="Q90" s="228" t="str">
        <f>IFERROR(IF(F90&gt;0,RANK(P90,P$7:P$102,1),""),"")</f>
        <v/>
      </c>
      <c r="R90" s="379"/>
      <c r="S90" s="228" t="str">
        <f>IFERROR(RANK(R90,R$7:R$102),"")</f>
        <v/>
      </c>
      <c r="T90" s="379"/>
      <c r="U90" s="228" t="str">
        <f>IFERROR(IF(F90&gt;0,RANK(T90,T$7:T$102,0),""),"")</f>
        <v/>
      </c>
      <c r="V90" s="379"/>
      <c r="W90" s="228" t="str">
        <f>IFERROR(IF(F90&gt;0,RANK(V90,V$7:V$102,0),""),"")</f>
        <v/>
      </c>
      <c r="X90" s="727"/>
      <c r="AB90" s="179" t="str">
        <f t="shared" si="2"/>
        <v/>
      </c>
      <c r="AC90" s="179" t="str">
        <f t="shared" si="3"/>
        <v/>
      </c>
    </row>
    <row r="91" spans="6:29" s="179" customFormat="1" ht="12">
      <c r="F91" s="381"/>
      <c r="G91" s="228" t="str">
        <f>IFERROR(RANK(F91,F$7:F$102),"")</f>
        <v/>
      </c>
      <c r="H91" s="379"/>
      <c r="I91" s="228" t="str">
        <f>IFERROR(RANK(H91,H$7:H$102),"")</f>
        <v/>
      </c>
      <c r="J91" s="379"/>
      <c r="K91" s="228"/>
      <c r="L91" s="379"/>
      <c r="M91" s="228" t="str">
        <f>IFERROR(RANK(L91,L$7:L$102),"")</f>
        <v/>
      </c>
      <c r="N91" s="381"/>
      <c r="O91" s="228" t="str">
        <f>IFERROR(RANK(N91,N$7:N$102),"")</f>
        <v/>
      </c>
      <c r="P91" s="379"/>
      <c r="Q91" s="228" t="str">
        <f>IFERROR(IF(F91&gt;0,RANK(P91,P$7:P$102,1),""),"")</f>
        <v/>
      </c>
      <c r="R91" s="379"/>
      <c r="S91" s="228" t="str">
        <f>IFERROR(RANK(R91,R$7:R$102),"")</f>
        <v/>
      </c>
      <c r="T91" s="379"/>
      <c r="U91" s="228" t="str">
        <f>IFERROR(IF(F91&gt;0,RANK(T91,T$7:T$102,0),""),"")</f>
        <v/>
      </c>
      <c r="V91" s="379"/>
      <c r="W91" s="228" t="str">
        <f>IFERROR(IF(F91&gt;0,RANK(V91,V$7:V$102,0),""),"")</f>
        <v/>
      </c>
      <c r="X91" s="727"/>
      <c r="AB91" s="179" t="str">
        <f t="shared" si="2"/>
        <v/>
      </c>
      <c r="AC91" s="179" t="str">
        <f t="shared" si="3"/>
        <v/>
      </c>
    </row>
    <row r="92" spans="6:29" s="179" customFormat="1" ht="12">
      <c r="F92" s="381"/>
      <c r="G92" s="228" t="str">
        <f>IFERROR(RANK(F92,F$7:F$102),"")</f>
        <v/>
      </c>
      <c r="H92" s="379"/>
      <c r="I92" s="228" t="str">
        <f>IFERROR(RANK(H92,H$7:H$102),"")</f>
        <v/>
      </c>
      <c r="J92" s="379"/>
      <c r="K92" s="228"/>
      <c r="L92" s="379"/>
      <c r="M92" s="228" t="str">
        <f>IFERROR(RANK(L92,L$7:L$102),"")</f>
        <v/>
      </c>
      <c r="N92" s="381"/>
      <c r="O92" s="228" t="str">
        <f>IFERROR(RANK(N92,N$7:N$102),"")</f>
        <v/>
      </c>
      <c r="P92" s="379"/>
      <c r="Q92" s="228" t="str">
        <f>IFERROR(IF(F92&gt;0,RANK(P92,P$7:P$102,1),""),"")</f>
        <v/>
      </c>
      <c r="R92" s="379"/>
      <c r="S92" s="228" t="str">
        <f>IFERROR(RANK(R92,R$7:R$102),"")</f>
        <v/>
      </c>
      <c r="T92" s="379"/>
      <c r="U92" s="228" t="str">
        <f>IFERROR(IF(F92&gt;0,RANK(T92,T$7:T$102,0),""),"")</f>
        <v/>
      </c>
      <c r="V92" s="379"/>
      <c r="W92" s="228" t="str">
        <f>IFERROR(IF(F92&gt;0,RANK(V92,V$7:V$102,0),""),"")</f>
        <v/>
      </c>
      <c r="X92" s="727"/>
      <c r="AB92" s="179" t="str">
        <f t="shared" si="2"/>
        <v/>
      </c>
      <c r="AC92" s="179" t="str">
        <f t="shared" si="3"/>
        <v/>
      </c>
    </row>
    <row r="93" spans="6:29" s="179" customFormat="1" ht="12">
      <c r="F93" s="381"/>
      <c r="G93" s="228" t="str">
        <f>IFERROR(RANK(F93,F$7:F$102),"")</f>
        <v/>
      </c>
      <c r="H93" s="379"/>
      <c r="I93" s="228" t="str">
        <f>IFERROR(RANK(H93,H$7:H$102),"")</f>
        <v/>
      </c>
      <c r="J93" s="379"/>
      <c r="K93" s="228"/>
      <c r="L93" s="379"/>
      <c r="M93" s="228" t="str">
        <f>IFERROR(RANK(L93,L$7:L$102),"")</f>
        <v/>
      </c>
      <c r="N93" s="381"/>
      <c r="O93" s="228" t="str">
        <f>IFERROR(RANK(N93,N$7:N$102),"")</f>
        <v/>
      </c>
      <c r="P93" s="379"/>
      <c r="Q93" s="228" t="str">
        <f>IFERROR(IF(F93&gt;0,RANK(P93,P$7:P$102,1),""),"")</f>
        <v/>
      </c>
      <c r="R93" s="379"/>
      <c r="S93" s="228" t="str">
        <f>IFERROR(RANK(R93,R$7:R$102),"")</f>
        <v/>
      </c>
      <c r="T93" s="379"/>
      <c r="U93" s="228" t="str">
        <f>IFERROR(IF(F93&gt;0,RANK(T93,T$7:T$102,0),""),"")</f>
        <v/>
      </c>
      <c r="V93" s="379"/>
      <c r="W93" s="228" t="str">
        <f>IFERROR(IF(F93&gt;0,RANK(V93,V$7:V$102,0),""),"")</f>
        <v/>
      </c>
      <c r="X93" s="727"/>
      <c r="AB93" s="179" t="str">
        <f t="shared" si="2"/>
        <v/>
      </c>
      <c r="AC93" s="179" t="str">
        <f t="shared" si="3"/>
        <v/>
      </c>
    </row>
    <row r="94" spans="6:29" s="179" customFormat="1" ht="12">
      <c r="F94" s="381"/>
      <c r="G94" s="228" t="str">
        <f>IFERROR(RANK(F94,F$7:F$102),"")</f>
        <v/>
      </c>
      <c r="H94" s="379"/>
      <c r="I94" s="228" t="str">
        <f>IFERROR(RANK(H94,H$7:H$102),"")</f>
        <v/>
      </c>
      <c r="J94" s="379"/>
      <c r="K94" s="228"/>
      <c r="L94" s="379"/>
      <c r="M94" s="228" t="str">
        <f>IFERROR(RANK(L94,L$7:L$102),"")</f>
        <v/>
      </c>
      <c r="N94" s="381"/>
      <c r="O94" s="228" t="str">
        <f>IFERROR(RANK(N94,N$7:N$102),"")</f>
        <v/>
      </c>
      <c r="P94" s="379"/>
      <c r="Q94" s="228" t="str">
        <f>IFERROR(IF(F94&gt;0,RANK(P94,P$7:P$102,1),""),"")</f>
        <v/>
      </c>
      <c r="R94" s="379"/>
      <c r="S94" s="228" t="str">
        <f>IFERROR(RANK(R94,R$7:R$102),"")</f>
        <v/>
      </c>
      <c r="T94" s="379"/>
      <c r="U94" s="228" t="str">
        <f>IFERROR(IF(F94&gt;0,RANK(T94,T$7:T$102,0),""),"")</f>
        <v/>
      </c>
      <c r="V94" s="379"/>
      <c r="W94" s="228" t="str">
        <f>IFERROR(IF(F94&gt;0,RANK(V94,V$7:V$102,0),""),"")</f>
        <v/>
      </c>
      <c r="X94" s="727"/>
      <c r="AB94" s="179" t="str">
        <f t="shared" si="2"/>
        <v/>
      </c>
      <c r="AC94" s="179" t="str">
        <f t="shared" si="3"/>
        <v/>
      </c>
    </row>
    <row r="95" spans="6:29" s="179" customFormat="1" ht="12">
      <c r="F95" s="381"/>
      <c r="G95" s="228" t="str">
        <f>IFERROR(RANK(F95,F$7:F$102),"")</f>
        <v/>
      </c>
      <c r="H95" s="379"/>
      <c r="I95" s="228" t="str">
        <f>IFERROR(RANK(H95,H$7:H$102),"")</f>
        <v/>
      </c>
      <c r="J95" s="379"/>
      <c r="K95" s="228"/>
      <c r="L95" s="379"/>
      <c r="M95" s="228" t="str">
        <f>IFERROR(RANK(L95,L$7:L$102),"")</f>
        <v/>
      </c>
      <c r="N95" s="381"/>
      <c r="O95" s="228" t="str">
        <f>IFERROR(RANK(N95,N$7:N$102),"")</f>
        <v/>
      </c>
      <c r="P95" s="379"/>
      <c r="Q95" s="228" t="str">
        <f>IFERROR(IF(F95&gt;0,RANK(P95,P$7:P$102,1),""),"")</f>
        <v/>
      </c>
      <c r="R95" s="379"/>
      <c r="S95" s="228" t="str">
        <f>IFERROR(RANK(R95,R$7:R$102),"")</f>
        <v/>
      </c>
      <c r="T95" s="379"/>
      <c r="U95" s="228" t="str">
        <f>IFERROR(IF(F95&gt;0,RANK(T95,T$7:T$102,0),""),"")</f>
        <v/>
      </c>
      <c r="V95" s="379"/>
      <c r="W95" s="228" t="str">
        <f>IFERROR(IF(F95&gt;0,RANK(V95,V$7:V$102,0),""),"")</f>
        <v/>
      </c>
      <c r="X95" s="727"/>
      <c r="AB95" s="179" t="str">
        <f t="shared" si="2"/>
        <v/>
      </c>
      <c r="AC95" s="179" t="str">
        <f t="shared" si="3"/>
        <v/>
      </c>
    </row>
    <row r="96" spans="6:29" s="179" customFormat="1" ht="12">
      <c r="F96" s="381"/>
      <c r="G96" s="228" t="str">
        <f>IFERROR(RANK(F96,F$7:F$102),"")</f>
        <v/>
      </c>
      <c r="H96" s="379"/>
      <c r="I96" s="228" t="str">
        <f>IFERROR(RANK(H96,H$7:H$102),"")</f>
        <v/>
      </c>
      <c r="J96" s="379"/>
      <c r="K96" s="228"/>
      <c r="L96" s="379"/>
      <c r="M96" s="228" t="str">
        <f>IFERROR(RANK(L96,L$7:L$102),"")</f>
        <v/>
      </c>
      <c r="N96" s="381"/>
      <c r="O96" s="228" t="str">
        <f>IFERROR(RANK(N96,N$7:N$102),"")</f>
        <v/>
      </c>
      <c r="P96" s="379"/>
      <c r="Q96" s="228" t="str">
        <f>IFERROR(IF(F96&gt;0,RANK(P96,P$7:P$102,1),""),"")</f>
        <v/>
      </c>
      <c r="R96" s="379"/>
      <c r="S96" s="228" t="str">
        <f>IFERROR(RANK(R96,R$7:R$102),"")</f>
        <v/>
      </c>
      <c r="T96" s="379"/>
      <c r="U96" s="228" t="str">
        <f>IFERROR(IF(F96&gt;0,RANK(T96,T$7:T$102,0),""),"")</f>
        <v/>
      </c>
      <c r="V96" s="379"/>
      <c r="W96" s="228" t="str">
        <f>IFERROR(IF(F96&gt;0,RANK(V96,V$7:V$102,0),""),"")</f>
        <v/>
      </c>
      <c r="X96" s="727"/>
      <c r="AB96" s="179" t="str">
        <f t="shared" si="2"/>
        <v/>
      </c>
      <c r="AC96" s="179" t="str">
        <f t="shared" si="3"/>
        <v/>
      </c>
    </row>
    <row r="97" spans="6:29" s="179" customFormat="1" ht="12">
      <c r="F97" s="381"/>
      <c r="G97" s="228" t="str">
        <f>IFERROR(RANK(F97,F$7:F$102),"")</f>
        <v/>
      </c>
      <c r="H97" s="379"/>
      <c r="I97" s="228" t="str">
        <f>IFERROR(RANK(H97,H$7:H$102),"")</f>
        <v/>
      </c>
      <c r="J97" s="379"/>
      <c r="K97" s="228"/>
      <c r="L97" s="379"/>
      <c r="M97" s="228" t="str">
        <f>IFERROR(RANK(L97,L$7:L$102),"")</f>
        <v/>
      </c>
      <c r="N97" s="381"/>
      <c r="O97" s="228" t="str">
        <f>IFERROR(RANK(N97,N$7:N$102),"")</f>
        <v/>
      </c>
      <c r="P97" s="379"/>
      <c r="Q97" s="228" t="str">
        <f>IFERROR(IF(F97&gt;0,RANK(P97,P$7:P$102,1),""),"")</f>
        <v/>
      </c>
      <c r="R97" s="379"/>
      <c r="S97" s="228" t="str">
        <f>IFERROR(RANK(R97,R$7:R$102),"")</f>
        <v/>
      </c>
      <c r="T97" s="379"/>
      <c r="U97" s="228" t="str">
        <f>IFERROR(IF(F97&gt;0,RANK(T97,T$7:T$102,0),""),"")</f>
        <v/>
      </c>
      <c r="V97" s="379"/>
      <c r="W97" s="228" t="str">
        <f>IFERROR(IF(F97&gt;0,RANK(V97,V$7:V$102,0),""),"")</f>
        <v/>
      </c>
      <c r="X97" s="727"/>
      <c r="AB97" s="179" t="str">
        <f t="shared" si="2"/>
        <v/>
      </c>
      <c r="AC97" s="179" t="str">
        <f t="shared" si="3"/>
        <v/>
      </c>
    </row>
    <row r="98" spans="6:29" s="179" customFormat="1" ht="12">
      <c r="F98" s="381"/>
      <c r="G98" s="228" t="str">
        <f>IFERROR(RANK(F98,F$7:F$102),"")</f>
        <v/>
      </c>
      <c r="H98" s="379"/>
      <c r="I98" s="228" t="str">
        <f>IFERROR(RANK(H98,H$7:H$102),"")</f>
        <v/>
      </c>
      <c r="J98" s="379"/>
      <c r="K98" s="228"/>
      <c r="L98" s="379"/>
      <c r="M98" s="228" t="str">
        <f>IFERROR(RANK(L98,L$7:L$102),"")</f>
        <v/>
      </c>
      <c r="N98" s="381"/>
      <c r="O98" s="228" t="str">
        <f>IFERROR(RANK(N98,N$7:N$102),"")</f>
        <v/>
      </c>
      <c r="P98" s="379"/>
      <c r="Q98" s="228" t="str">
        <f>IFERROR(IF(F98&gt;0,RANK(P98,P$7:P$102,1),""),"")</f>
        <v/>
      </c>
      <c r="R98" s="379"/>
      <c r="S98" s="228" t="str">
        <f>IFERROR(RANK(R98,R$7:R$102),"")</f>
        <v/>
      </c>
      <c r="T98" s="379"/>
      <c r="U98" s="228" t="str">
        <f>IFERROR(IF(F98&gt;0,RANK(T98,T$7:T$102,0),""),"")</f>
        <v/>
      </c>
      <c r="V98" s="379"/>
      <c r="W98" s="228" t="str">
        <f>IFERROR(IF(F98&gt;0,RANK(V98,V$7:V$102,0),""),"")</f>
        <v/>
      </c>
      <c r="X98" s="727"/>
      <c r="AB98" s="179" t="str">
        <f t="shared" si="2"/>
        <v/>
      </c>
      <c r="AC98" s="179" t="str">
        <f t="shared" si="3"/>
        <v/>
      </c>
    </row>
    <row r="99" spans="6:29" s="179" customFormat="1" ht="12">
      <c r="F99" s="381"/>
      <c r="G99" s="228" t="str">
        <f>IFERROR(RANK(F99,F$7:F$102),"")</f>
        <v/>
      </c>
      <c r="H99" s="379"/>
      <c r="I99" s="228" t="str">
        <f>IFERROR(RANK(H99,H$7:H$102),"")</f>
        <v/>
      </c>
      <c r="J99" s="379"/>
      <c r="K99" s="228"/>
      <c r="L99" s="379"/>
      <c r="M99" s="228" t="str">
        <f>IFERROR(RANK(L99,L$7:L$102),"")</f>
        <v/>
      </c>
      <c r="N99" s="381"/>
      <c r="O99" s="228" t="str">
        <f>IFERROR(RANK(N99,N$7:N$102),"")</f>
        <v/>
      </c>
      <c r="P99" s="379"/>
      <c r="Q99" s="228" t="str">
        <f>IFERROR(IF(F99&gt;0,RANK(P99,P$7:P$102,1),""),"")</f>
        <v/>
      </c>
      <c r="R99" s="379"/>
      <c r="S99" s="228" t="str">
        <f>IFERROR(RANK(R99,R$7:R$102),"")</f>
        <v/>
      </c>
      <c r="T99" s="379"/>
      <c r="U99" s="228" t="str">
        <f>IFERROR(IF(F99&gt;0,RANK(T99,T$7:T$102,0),""),"")</f>
        <v/>
      </c>
      <c r="V99" s="379"/>
      <c r="W99" s="228" t="str">
        <f>IFERROR(IF(F99&gt;0,RANK(V99,V$7:V$102,0),""),"")</f>
        <v/>
      </c>
      <c r="X99" s="727"/>
      <c r="AB99" s="179" t="str">
        <f t="shared" si="2"/>
        <v/>
      </c>
      <c r="AC99" s="179" t="str">
        <f t="shared" si="3"/>
        <v/>
      </c>
    </row>
    <row r="100" spans="6:29" s="179" customFormat="1" ht="12">
      <c r="F100" s="381"/>
      <c r="G100" s="228" t="str">
        <f>IFERROR(RANK(F100,F$7:F$102),"")</f>
        <v/>
      </c>
      <c r="H100" s="379"/>
      <c r="I100" s="228" t="str">
        <f>IFERROR(RANK(H100,H$7:H$102),"")</f>
        <v/>
      </c>
      <c r="J100" s="379"/>
      <c r="K100" s="228"/>
      <c r="L100" s="379"/>
      <c r="M100" s="228" t="str">
        <f>IFERROR(RANK(L100,L$7:L$102),"")</f>
        <v/>
      </c>
      <c r="N100" s="381"/>
      <c r="O100" s="228" t="str">
        <f>IFERROR(RANK(N100,N$7:N$102),"")</f>
        <v/>
      </c>
      <c r="P100" s="379"/>
      <c r="Q100" s="228" t="str">
        <f>IFERROR(IF(F100&gt;0,RANK(P100,P$7:P$102,1),""),"")</f>
        <v/>
      </c>
      <c r="R100" s="379"/>
      <c r="S100" s="228" t="str">
        <f>IFERROR(RANK(R100,R$7:R$102),"")</f>
        <v/>
      </c>
      <c r="T100" s="379"/>
      <c r="U100" s="228" t="str">
        <f>IFERROR(IF(F100&gt;0,RANK(T100,T$7:T$102,0),""),"")</f>
        <v/>
      </c>
      <c r="V100" s="379"/>
      <c r="W100" s="228" t="str">
        <f>IFERROR(IF(F100&gt;0,RANK(V100,V$7:V$102,0),""),"")</f>
        <v/>
      </c>
      <c r="X100" s="727"/>
      <c r="AB100" s="179" t="str">
        <f t="shared" si="2"/>
        <v/>
      </c>
      <c r="AC100" s="179" t="str">
        <f t="shared" si="3"/>
        <v/>
      </c>
    </row>
    <row r="101" spans="6:29" s="179" customFormat="1" ht="12">
      <c r="F101" s="381"/>
      <c r="G101" s="228" t="str">
        <f>IFERROR(RANK(F101,F$7:F$102),"")</f>
        <v/>
      </c>
      <c r="H101" s="379"/>
      <c r="I101" s="228" t="str">
        <f>IFERROR(RANK(H101,H$7:H$102),"")</f>
        <v/>
      </c>
      <c r="J101" s="379"/>
      <c r="K101" s="228"/>
      <c r="L101" s="379"/>
      <c r="M101" s="228" t="str">
        <f>IFERROR(RANK(L101,L$7:L$102),"")</f>
        <v/>
      </c>
      <c r="N101" s="381"/>
      <c r="O101" s="228" t="str">
        <f>IFERROR(RANK(N101,N$7:N$102),"")</f>
        <v/>
      </c>
      <c r="P101" s="379"/>
      <c r="Q101" s="228" t="str">
        <f>IFERROR(IF(F101&gt;0,RANK(P101,P$7:P$102,1),""),"")</f>
        <v/>
      </c>
      <c r="R101" s="379"/>
      <c r="S101" s="228" t="str">
        <f>IFERROR(RANK(R101,R$7:R$102),"")</f>
        <v/>
      </c>
      <c r="T101" s="379"/>
      <c r="U101" s="228" t="str">
        <f>IFERROR(IF(F101&gt;0,RANK(T101,T$7:T$102,0),""),"")</f>
        <v/>
      </c>
      <c r="V101" s="379"/>
      <c r="W101" s="228" t="str">
        <f>IFERROR(IF(F101&gt;0,RANK(V101,V$7:V$102,0),""),"")</f>
        <v/>
      </c>
      <c r="X101" s="727"/>
      <c r="AB101" s="179" t="str">
        <f t="shared" si="2"/>
        <v/>
      </c>
      <c r="AC101" s="179" t="str">
        <f t="shared" si="3"/>
        <v/>
      </c>
    </row>
    <row r="102" spans="6:29" s="179" customFormat="1" ht="12">
      <c r="F102" s="381"/>
      <c r="G102" s="228" t="str">
        <f>IFERROR(RANK(F102,F$7:F$102),"")</f>
        <v/>
      </c>
      <c r="H102" s="379"/>
      <c r="I102" s="228" t="str">
        <f>IFERROR(RANK(H102,H$7:H$102),"")</f>
        <v/>
      </c>
      <c r="J102" s="379"/>
      <c r="K102" s="228"/>
      <c r="L102" s="379"/>
      <c r="M102" s="228" t="str">
        <f>IFERROR(RANK(L102,L$7:L$102),"")</f>
        <v/>
      </c>
      <c r="N102" s="381"/>
      <c r="O102" s="228" t="str">
        <f>IFERROR(RANK(N102,N$7:N$102),"")</f>
        <v/>
      </c>
      <c r="P102" s="379"/>
      <c r="Q102" s="228" t="str">
        <f>IFERROR(IF(F102&gt;0,RANK(P102,P$7:P$102,1),""),"")</f>
        <v/>
      </c>
      <c r="R102" s="379"/>
      <c r="S102" s="228" t="str">
        <f>IFERROR(RANK(R102,R$7:R$102),"")</f>
        <v/>
      </c>
      <c r="T102" s="379"/>
      <c r="U102" s="228" t="str">
        <f>IFERROR(IF(F102&gt;0,RANK(T102,T$7:T$102,0),""),"")</f>
        <v/>
      </c>
      <c r="V102" s="379"/>
      <c r="W102" s="228" t="str">
        <f>IFERROR(IF(F102&gt;0,RANK(V102,V$7:V$102,0),""),"")</f>
        <v/>
      </c>
      <c r="X102" s="727"/>
      <c r="AB102" s="179" t="str">
        <f t="shared" si="2"/>
        <v/>
      </c>
      <c r="AC102" s="179" t="str">
        <f t="shared" si="3"/>
        <v/>
      </c>
    </row>
    <row r="103" spans="6:29" s="179" customFormat="1" ht="12">
      <c r="F103" s="381"/>
      <c r="G103" s="228" t="str">
        <f>IFERROR(RANK(F103,F$7:F$102),"")</f>
        <v/>
      </c>
      <c r="H103" s="379"/>
      <c r="I103" s="228" t="str">
        <f>IFERROR(RANK(H103,H$7:H$102),"")</f>
        <v/>
      </c>
      <c r="J103" s="379"/>
      <c r="K103" s="228"/>
      <c r="L103" s="379"/>
      <c r="M103" s="228" t="str">
        <f>IFERROR(RANK(L103,L$7:L$102),"")</f>
        <v/>
      </c>
      <c r="N103" s="381"/>
      <c r="O103" s="228" t="str">
        <f>IFERROR(RANK(N103,N$7:N$102),"")</f>
        <v/>
      </c>
      <c r="P103" s="379"/>
      <c r="Q103" s="228" t="str">
        <f>IFERROR(IF(F103&gt;0,RANK(P103,P$7:P$102,1),""),"")</f>
        <v/>
      </c>
      <c r="R103" s="379"/>
      <c r="S103" s="228" t="str">
        <f>IFERROR(RANK(R103,R$7:R$102),"")</f>
        <v/>
      </c>
      <c r="T103" s="379"/>
      <c r="U103" s="228" t="str">
        <f>IFERROR(IF(F103&gt;0,RANK(T103,T$7:T$102,0),""),"")</f>
        <v/>
      </c>
      <c r="V103" s="379"/>
      <c r="W103" s="228" t="str">
        <f>IFERROR(IF(F103&gt;0,RANK(V103,V$7:V$102,0),""),"")</f>
        <v/>
      </c>
      <c r="X103" s="727"/>
      <c r="AB103" s="179" t="str">
        <f t="shared" si="2"/>
        <v/>
      </c>
      <c r="AC103" s="179" t="str">
        <f t="shared" si="3"/>
        <v/>
      </c>
    </row>
  </sheetData>
  <sheetProtection sheet="1" objects="1" scenarios="1"/>
  <sortState ref="C7:AA103">
    <sortCondition descending="1" ref="V7:V46"/>
  </sortState>
  <mergeCells count="11">
    <mergeCell ref="F1:R2"/>
    <mergeCell ref="C5:D5"/>
    <mergeCell ref="T4:U4"/>
    <mergeCell ref="V4:W4"/>
    <mergeCell ref="H4:I4"/>
    <mergeCell ref="F4:G4"/>
    <mergeCell ref="L4:M4"/>
    <mergeCell ref="N4:O4"/>
    <mergeCell ref="P4:Q4"/>
    <mergeCell ref="R4:S4"/>
    <mergeCell ref="J4:K4"/>
  </mergeCells>
  <conditionalFormatting sqref="G6:G103">
    <cfRule type="colorScale" priority="79">
      <colorScale>
        <cfvo type="min"/>
        <cfvo type="percentile" val="50"/>
        <cfvo type="max"/>
        <color theme="4" tint="0.79998168889431442"/>
        <color theme="4" tint="0.59999389629810485"/>
        <color theme="4" tint="0.39997558519241921"/>
      </colorScale>
    </cfRule>
  </conditionalFormatting>
  <conditionalFormatting sqref="M6:M103">
    <cfRule type="colorScale" priority="81">
      <colorScale>
        <cfvo type="min"/>
        <cfvo type="percentile" val="50"/>
        <cfvo type="max"/>
        <color theme="4" tint="0.79998168889431442"/>
        <color theme="4" tint="0.59999389629810485"/>
        <color theme="4" tint="0.39997558519241921"/>
      </colorScale>
    </cfRule>
  </conditionalFormatting>
  <conditionalFormatting sqref="O6:O103">
    <cfRule type="colorScale" priority="83">
      <colorScale>
        <cfvo type="min"/>
        <cfvo type="percentile" val="50"/>
        <cfvo type="max"/>
        <color theme="4" tint="0.79998168889431442"/>
        <color theme="4" tint="0.59999389629810485"/>
        <color theme="4" tint="0.39997558519241921"/>
      </colorScale>
    </cfRule>
  </conditionalFormatting>
  <conditionalFormatting sqref="Q6:Q103">
    <cfRule type="colorScale" priority="85">
      <colorScale>
        <cfvo type="min"/>
        <cfvo type="percentile" val="50"/>
        <cfvo type="max"/>
        <color theme="4" tint="0.79998168889431442"/>
        <color theme="4" tint="0.59999389629810485"/>
        <color theme="4" tint="0.39997558519241921"/>
      </colorScale>
    </cfRule>
  </conditionalFormatting>
  <conditionalFormatting sqref="S6:S103">
    <cfRule type="colorScale" priority="87">
      <colorScale>
        <cfvo type="min"/>
        <cfvo type="percentile" val="50"/>
        <cfvo type="max"/>
        <color theme="4" tint="0.79998168889431442"/>
        <color theme="4" tint="0.59999389629810485"/>
        <color theme="4" tint="0.39997558519241921"/>
      </colorScale>
    </cfRule>
  </conditionalFormatting>
  <conditionalFormatting sqref="U6:U103">
    <cfRule type="colorScale" priority="89">
      <colorScale>
        <cfvo type="min"/>
        <cfvo type="percentile" val="50"/>
        <cfvo type="max"/>
        <color theme="4" tint="0.79998168889431442"/>
        <color theme="4" tint="0.59999389629810485"/>
        <color theme="4" tint="0.39997558519241921"/>
      </colorScale>
    </cfRule>
  </conditionalFormatting>
  <conditionalFormatting sqref="W6:W103">
    <cfRule type="colorScale" priority="91">
      <colorScale>
        <cfvo type="min"/>
        <cfvo type="percentile" val="50"/>
        <cfvo type="max"/>
        <color theme="4" tint="0.79998168889431442"/>
        <color theme="4" tint="0.59999389629810485"/>
        <color theme="4" tint="0.39997558519241921"/>
      </colorScale>
    </cfRule>
  </conditionalFormatting>
  <conditionalFormatting sqref="N6">
    <cfRule type="cellIs" dxfId="23" priority="35" operator="lessThan">
      <formula>N$5</formula>
    </cfRule>
    <cfRule type="cellIs" dxfId="22" priority="36" operator="greaterThan">
      <formula>N$5</formula>
    </cfRule>
  </conditionalFormatting>
  <conditionalFormatting sqref="F6">
    <cfRule type="cellIs" dxfId="21" priority="31" operator="lessThan">
      <formula>F$5</formula>
    </cfRule>
    <cfRule type="cellIs" dxfId="20" priority="32" operator="greaterThan">
      <formula>F$5</formula>
    </cfRule>
  </conditionalFormatting>
  <conditionalFormatting sqref="H6">
    <cfRule type="cellIs" dxfId="19" priority="29" operator="lessThan">
      <formula>H$5</formula>
    </cfRule>
    <cfRule type="cellIs" dxfId="18" priority="30" operator="greaterThan">
      <formula>H$5</formula>
    </cfRule>
  </conditionalFormatting>
  <conditionalFormatting sqref="L6">
    <cfRule type="cellIs" dxfId="17" priority="27" operator="lessThan">
      <formula>L$5</formula>
    </cfRule>
    <cfRule type="cellIs" dxfId="16" priority="28" operator="greaterThan">
      <formula>L$5</formula>
    </cfRule>
  </conditionalFormatting>
  <conditionalFormatting sqref="P6">
    <cfRule type="cellIs" dxfId="15" priority="23" operator="greaterThan">
      <formula>P$5</formula>
    </cfRule>
    <cfRule type="cellIs" dxfId="14" priority="24" operator="lessThan">
      <formula>P$5</formula>
    </cfRule>
  </conditionalFormatting>
  <conditionalFormatting sqref="R6">
    <cfRule type="cellIs" dxfId="13" priority="21" operator="lessThan">
      <formula>R$5</formula>
    </cfRule>
    <cfRule type="cellIs" dxfId="12" priority="22" operator="greaterThan">
      <formula>R$5</formula>
    </cfRule>
  </conditionalFormatting>
  <conditionalFormatting sqref="T6">
    <cfRule type="cellIs" dxfId="11" priority="19" operator="lessThan">
      <formula>T$5</formula>
    </cfRule>
    <cfRule type="cellIs" dxfId="10" priority="20" operator="greaterThan">
      <formula>T$5</formula>
    </cfRule>
  </conditionalFormatting>
  <conditionalFormatting sqref="V6">
    <cfRule type="cellIs" dxfId="9" priority="15" operator="lessThan">
      <formula>V$5</formula>
    </cfRule>
    <cfRule type="cellIs" dxfId="8" priority="16" operator="greaterThan">
      <formula>V$5</formula>
    </cfRule>
  </conditionalFormatting>
  <conditionalFormatting sqref="I6:I103">
    <cfRule type="colorScale" priority="12">
      <colorScale>
        <cfvo type="min"/>
        <cfvo type="percentile" val="50"/>
        <cfvo type="max"/>
        <color theme="4" tint="0.79998168889431442"/>
        <color theme="4" tint="0.59999389629810485"/>
        <color theme="4" tint="0.39997558519241921"/>
      </colorScale>
    </cfRule>
  </conditionalFormatting>
  <conditionalFormatting sqref="K6:K103">
    <cfRule type="colorScale" priority="11">
      <colorScale>
        <cfvo type="min"/>
        <cfvo type="percentile" val="50"/>
        <cfvo type="max"/>
        <color theme="4" tint="0.79998168889431442"/>
        <color theme="4" tint="0.59999389629810485"/>
        <color theme="4" tint="0.39997558519241921"/>
      </colorScale>
    </cfRule>
  </conditionalFormatting>
  <conditionalFormatting sqref="X6">
    <cfRule type="cellIs" dxfId="7" priority="9" operator="lessThan">
      <formula>X$5</formula>
    </cfRule>
    <cfRule type="cellIs" dxfId="6" priority="10" operator="greaterThan">
      <formula>X$5</formula>
    </cfRule>
  </conditionalFormatting>
  <conditionalFormatting sqref="Y6">
    <cfRule type="cellIs" dxfId="5" priority="7" operator="greaterThan">
      <formula>Y$5</formula>
    </cfRule>
    <cfRule type="cellIs" dxfId="4" priority="8" operator="lessThan">
      <formula>Y$5</formula>
    </cfRule>
  </conditionalFormatting>
  <conditionalFormatting sqref="Z6">
    <cfRule type="cellIs" dxfId="3" priority="5" operator="greaterThan">
      <formula>Z$5</formula>
    </cfRule>
    <cfRule type="cellIs" dxfId="2" priority="6" operator="lessThan">
      <formula>Z$5</formula>
    </cfRule>
  </conditionalFormatting>
  <conditionalFormatting sqref="AA6">
    <cfRule type="cellIs" dxfId="1" priority="3" operator="lessThan">
      <formula>AA$5</formula>
    </cfRule>
    <cfRule type="cellIs" dxfId="0" priority="4" operator="greaterThan">
      <formula>AA$5</formula>
    </cfRule>
  </conditionalFormatting>
  <conditionalFormatting sqref="X101">
    <cfRule type="colorScale" priority="2">
      <colorScale>
        <cfvo type="min"/>
        <cfvo type="percentile" val="50"/>
        <cfvo type="max"/>
        <color theme="3" tint="0.39997558519241921"/>
        <color theme="3" tint="0.59999389629810485"/>
        <color theme="3" tint="0.79998168889431442"/>
      </colorScale>
    </cfRule>
  </conditionalFormatting>
  <pageMargins left="0.17" right="0.16" top="0.74803149606299213" bottom="0.74803149606299213" header="0.31496062992125984" footer="0.31496062992125984"/>
  <pageSetup paperSize="9" scale="63" fitToHeight="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Spinner 1">
              <controlPr defaultSize="0" autoPict="0" macro="[0]!GetAllStores">
                <anchor moveWithCells="1" sizeWithCells="1">
                  <from>
                    <xdr:col>4</xdr:col>
                    <xdr:colOff>9525</xdr:colOff>
                    <xdr:row>25</xdr:row>
                    <xdr:rowOff>0</xdr:rowOff>
                  </from>
                  <to>
                    <xdr:col>4</xdr:col>
                    <xdr:colOff>219075</xdr:colOff>
                    <xdr:row>25</xdr:row>
                    <xdr:rowOff>0</xdr:rowOff>
                  </to>
                </anchor>
              </controlPr>
            </control>
          </mc:Choice>
        </mc:AlternateContent>
        <mc:AlternateContent xmlns:mc="http://schemas.openxmlformats.org/markup-compatibility/2006">
          <mc:Choice Requires="x14">
            <control shapeId="12292" r:id="rId5" name="Spinner 4">
              <controlPr defaultSize="0" autoPict="0" macro="[0]!GetAllStores_Super">
                <anchor moveWithCells="1" sizeWithCells="1">
                  <from>
                    <xdr:col>4</xdr:col>
                    <xdr:colOff>19050</xdr:colOff>
                    <xdr:row>0</xdr:row>
                    <xdr:rowOff>285750</xdr:rowOff>
                  </from>
                  <to>
                    <xdr:col>4</xdr:col>
                    <xdr:colOff>228600</xdr:colOff>
                    <xdr:row>2</xdr:row>
                    <xdr:rowOff>9525</xdr:rowOff>
                  </to>
                </anchor>
              </controlPr>
            </control>
          </mc:Choice>
        </mc:AlternateContent>
        <mc:AlternateContent xmlns:mc="http://schemas.openxmlformats.org/markup-compatibility/2006">
          <mc:Choice Requires="x14">
            <control shapeId="12295" r:id="rId6" name="Option Button 7">
              <controlPr defaultSize="0" autoFill="0" autoLine="0" autoPict="0" macro="[0]!GetAllStores_Super">
                <anchor moveWithCells="1">
                  <from>
                    <xdr:col>20</xdr:col>
                    <xdr:colOff>104775</xdr:colOff>
                    <xdr:row>1</xdr:row>
                    <xdr:rowOff>28575</xdr:rowOff>
                  </from>
                  <to>
                    <xdr:col>22</xdr:col>
                    <xdr:colOff>180975</xdr:colOff>
                    <xdr:row>2</xdr:row>
                    <xdr:rowOff>47625</xdr:rowOff>
                  </to>
                </anchor>
              </controlPr>
            </control>
          </mc:Choice>
        </mc:AlternateContent>
        <mc:AlternateContent xmlns:mc="http://schemas.openxmlformats.org/markup-compatibility/2006">
          <mc:Choice Requires="x14">
            <control shapeId="12296" r:id="rId7" name="Option Button 8">
              <controlPr defaultSize="0" autoFill="0" autoLine="0" autoPict="0" macro="[0]!GetAllStores_Super">
                <anchor moveWithCells="1">
                  <from>
                    <xdr:col>20</xdr:col>
                    <xdr:colOff>104775</xdr:colOff>
                    <xdr:row>0</xdr:row>
                    <xdr:rowOff>142875</xdr:rowOff>
                  </from>
                  <to>
                    <xdr:col>22</xdr:col>
                    <xdr:colOff>180975</xdr:colOff>
                    <xdr:row>1</xdr:row>
                    <xdr:rowOff>57150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pageSetUpPr fitToPage="1"/>
  </sheetPr>
  <dimension ref="A1:AC103"/>
  <sheetViews>
    <sheetView topLeftCell="C1" zoomScaleNormal="100" workbookViewId="0">
      <pane ySplit="6" topLeftCell="A7" activePane="bottomLeft" state="frozenSplit"/>
      <selection activeCell="C1" sqref="C1"/>
      <selection pane="bottomLeft" activeCell="I34" sqref="I34"/>
    </sheetView>
  </sheetViews>
  <sheetFormatPr baseColWidth="10" defaultColWidth="9.140625" defaultRowHeight="15"/>
  <cols>
    <col min="1" max="2" width="0" hidden="1" customWidth="1"/>
    <col min="3" max="3" width="6.85546875" customWidth="1"/>
    <col min="4" max="4" width="20" bestFit="1" customWidth="1"/>
    <col min="5" max="5" width="7" bestFit="1" customWidth="1"/>
    <col min="6" max="6" width="11.7109375" style="2" bestFit="1" customWidth="1"/>
    <col min="7" max="7" width="4" style="3" bestFit="1" customWidth="1"/>
    <col min="8" max="8" width="10.5703125" style="10" customWidth="1"/>
    <col min="9" max="9" width="3.28515625" style="3" bestFit="1" customWidth="1"/>
    <col min="10" max="10" width="12.28515625" style="10" bestFit="1" customWidth="1"/>
    <col min="11" max="11" width="2.7109375" style="3" bestFit="1" customWidth="1"/>
    <col min="12" max="12" width="9.42578125" style="2" customWidth="1"/>
    <col min="13" max="13" width="2.7109375" style="3" bestFit="1" customWidth="1"/>
    <col min="14" max="14" width="11.5703125" style="10" bestFit="1" customWidth="1"/>
    <col min="15" max="15" width="3.42578125" style="3" bestFit="1" customWidth="1"/>
    <col min="16" max="16" width="9.140625" style="10"/>
    <col min="17" max="17" width="3.42578125" style="3" bestFit="1" customWidth="1"/>
    <col min="18" max="18" width="9.140625" style="10"/>
    <col min="19" max="19" width="2.7109375" style="3" bestFit="1" customWidth="1"/>
    <col min="20" max="20" width="9.7109375" style="10" bestFit="1" customWidth="1"/>
    <col min="21" max="21" width="3.28515625" style="3" bestFit="1" customWidth="1"/>
  </cols>
  <sheetData>
    <row r="1" spans="1:29" ht="24" customHeight="1">
      <c r="A1" s="80"/>
      <c r="B1" s="77"/>
      <c r="C1" s="79"/>
      <c r="D1" s="79"/>
      <c r="E1" s="81"/>
      <c r="F1" s="903" t="s">
        <v>154</v>
      </c>
      <c r="G1" s="903"/>
      <c r="H1" s="903"/>
      <c r="I1" s="903"/>
      <c r="J1" s="903"/>
      <c r="K1" s="903"/>
      <c r="L1" s="903"/>
      <c r="M1" s="903"/>
      <c r="N1" s="903"/>
      <c r="O1" s="903"/>
      <c r="P1" s="903"/>
      <c r="Q1" s="903"/>
      <c r="R1" s="903"/>
      <c r="S1" s="903"/>
      <c r="T1" s="903"/>
      <c r="U1" s="903"/>
      <c r="V1" s="903"/>
      <c r="W1" s="903"/>
      <c r="X1" s="903"/>
      <c r="Y1" s="903"/>
      <c r="Z1" s="903"/>
      <c r="AA1" s="210"/>
      <c r="AB1" s="210"/>
      <c r="AC1" s="77"/>
    </row>
    <row r="2" spans="1:29" ht="15.75" customHeight="1">
      <c r="C2" s="87" t="s">
        <v>0</v>
      </c>
      <c r="D2" s="88">
        <v>38</v>
      </c>
      <c r="E2" s="77"/>
      <c r="F2" s="903"/>
      <c r="G2" s="903"/>
      <c r="H2" s="903"/>
      <c r="I2" s="903"/>
      <c r="J2" s="903"/>
      <c r="K2" s="903"/>
      <c r="L2" s="903"/>
      <c r="M2" s="903"/>
      <c r="N2" s="903"/>
      <c r="O2" s="903"/>
      <c r="P2" s="903"/>
      <c r="Q2" s="903"/>
      <c r="R2" s="903"/>
      <c r="S2" s="903"/>
      <c r="T2" s="903"/>
      <c r="U2" s="903"/>
      <c r="V2" s="903"/>
      <c r="W2" s="903"/>
      <c r="X2" s="903"/>
      <c r="Y2" s="903"/>
      <c r="Z2" s="903"/>
      <c r="AA2" s="216"/>
      <c r="AB2" s="216"/>
      <c r="AC2" s="77"/>
    </row>
    <row r="3" spans="1:29" ht="13.5" customHeight="1">
      <c r="A3" s="80"/>
      <c r="B3" s="77"/>
      <c r="C3" s="79"/>
      <c r="D3" s="79"/>
      <c r="E3" s="81"/>
      <c r="F3" s="210"/>
      <c r="G3" s="217"/>
      <c r="H3" s="210"/>
      <c r="I3" s="217"/>
      <c r="J3" s="210"/>
      <c r="K3" s="217"/>
      <c r="L3" s="210"/>
      <c r="M3" s="217"/>
      <c r="N3" s="210"/>
      <c r="O3" s="217"/>
      <c r="P3" s="210"/>
      <c r="Q3" s="217"/>
      <c r="R3" s="210"/>
      <c r="S3" s="217"/>
      <c r="T3" s="210"/>
      <c r="U3" s="217"/>
      <c r="V3" s="210"/>
      <c r="W3" s="210"/>
      <c r="X3" s="210"/>
      <c r="Y3" s="210"/>
      <c r="Z3" s="210"/>
      <c r="AA3" s="210"/>
      <c r="AB3" s="210"/>
      <c r="AC3" s="77"/>
    </row>
    <row r="4" spans="1:29" s="226" customFormat="1" ht="12.75">
      <c r="A4" s="224"/>
      <c r="B4" s="224"/>
      <c r="C4" s="225" t="s">
        <v>40</v>
      </c>
      <c r="D4" s="225" t="s">
        <v>41</v>
      </c>
      <c r="E4" s="225"/>
      <c r="F4" s="930" t="s">
        <v>29</v>
      </c>
      <c r="G4" s="931"/>
      <c r="H4" s="932" t="s">
        <v>44</v>
      </c>
      <c r="I4" s="933"/>
      <c r="J4" s="932" t="s">
        <v>5</v>
      </c>
      <c r="K4" s="933"/>
      <c r="L4" s="930" t="s">
        <v>47</v>
      </c>
      <c r="M4" s="931"/>
      <c r="N4" s="932" t="s">
        <v>46</v>
      </c>
      <c r="O4" s="933"/>
      <c r="P4" s="932" t="s">
        <v>6</v>
      </c>
      <c r="Q4" s="933"/>
      <c r="R4" s="932" t="s">
        <v>7</v>
      </c>
      <c r="S4" s="933"/>
      <c r="T4" s="932" t="s">
        <v>50</v>
      </c>
      <c r="U4" s="933"/>
      <c r="V4" s="225"/>
      <c r="W4" s="225"/>
      <c r="X4" s="225"/>
      <c r="Y4" s="225"/>
      <c r="Z4" s="225"/>
      <c r="AA4" s="225"/>
      <c r="AB4" s="225"/>
      <c r="AC4" s="225"/>
    </row>
    <row r="5" spans="1:29" s="223" customFormat="1" ht="24" customHeight="1" thickBot="1">
      <c r="A5" s="220"/>
      <c r="B5" s="220"/>
      <c r="C5" s="924" t="s">
        <v>153</v>
      </c>
      <c r="D5" s="925"/>
      <c r="E5" s="293"/>
      <c r="F5" s="294">
        <f>AVERAGE(F$7:F$100)</f>
        <v>31043334.291792858</v>
      </c>
      <c r="G5" s="295"/>
      <c r="H5" s="296">
        <f>AVERAGE(H$7:H$100)</f>
        <v>0.21771638399517071</v>
      </c>
      <c r="I5" s="295"/>
      <c r="J5" s="296">
        <f>AVERAGE(J$7:J$100)</f>
        <v>-0.12265613246866003</v>
      </c>
      <c r="K5" s="295"/>
      <c r="L5" s="294">
        <f>AVERAGE(L$7:L$100)</f>
        <v>2374.9076977893501</v>
      </c>
      <c r="M5" s="295"/>
      <c r="N5" s="296">
        <f>AVERAGE(N$7:N$100)</f>
        <v>3.0943544558932355E-2</v>
      </c>
      <c r="O5" s="295"/>
      <c r="P5" s="296">
        <f>AVERAGE(P$7:P$100)</f>
        <v>-2.5403941554558881E-2</v>
      </c>
      <c r="Q5" s="295"/>
      <c r="R5" s="296">
        <f>AVERAGE(R$7:R$100)</f>
        <v>-5.4246764073232496E-3</v>
      </c>
      <c r="S5" s="295"/>
      <c r="T5" s="296">
        <f>AVERAGE(T$7:T$100)</f>
        <v>6.4231633564628535E-2</v>
      </c>
      <c r="U5" s="295"/>
      <c r="V5" s="295"/>
      <c r="W5" s="295"/>
      <c r="X5" s="295"/>
      <c r="Y5" s="295"/>
      <c r="Z5" s="295"/>
      <c r="AA5" s="295"/>
      <c r="AB5" s="295"/>
      <c r="AC5" s="297"/>
    </row>
    <row r="6" spans="1:29" s="223" customFormat="1" ht="24" customHeight="1" thickTop="1">
      <c r="A6" s="220"/>
      <c r="B6" s="220"/>
      <c r="C6" s="218" t="str">
        <f>sysX!A2</f>
        <v>4301</v>
      </c>
      <c r="D6" s="218" t="str">
        <f>sysX!A4</f>
        <v>BERJASEN</v>
      </c>
      <c r="E6" s="219" t="str">
        <f>sysX!A6</f>
        <v>2019</v>
      </c>
      <c r="F6" s="221" t="e">
        <f>VLOOKUP($C$6,$C$7:$AC$102,4,FALSE)</f>
        <v>#N/A</v>
      </c>
      <c r="G6" s="227" t="str">
        <f>IFERROR(RANK(F6,F$6:F$101),"")</f>
        <v/>
      </c>
      <c r="H6" s="222" t="e">
        <f>VLOOKUP($C$6,$C$7:$AC$102,6,FALSE)</f>
        <v>#N/A</v>
      </c>
      <c r="I6" s="227" t="str">
        <f>IFERROR(RANK(H6,H$6:H$101),"")</f>
        <v/>
      </c>
      <c r="J6" s="222" t="e">
        <f>VLOOKUP($C$6,$C$7:$AC$102,8,FALSE)</f>
        <v>#N/A</v>
      </c>
      <c r="K6" s="227" t="str">
        <f>IFERROR(RANK(J6,J$6:J$101),"")</f>
        <v/>
      </c>
      <c r="L6" s="221" t="e">
        <f>VLOOKUP($C$6,$C$7:$AC$102,10,FALSE)</f>
        <v>#N/A</v>
      </c>
      <c r="M6" s="227" t="str">
        <f>IFERROR(RANK(L6,L$6:L$101),"")</f>
        <v/>
      </c>
      <c r="N6" s="222" t="e">
        <f>VLOOKUP($C$6,$C$7:$AC$102,12,FALSE)</f>
        <v>#N/A</v>
      </c>
      <c r="O6" s="227" t="str">
        <f>IFERROR(RANK(N6,N$6:N$101,1),"")</f>
        <v/>
      </c>
      <c r="P6" s="222" t="e">
        <f>VLOOKUP($C$6,$C$7:$AC$102,14,FALSE)</f>
        <v>#N/A</v>
      </c>
      <c r="Q6" s="227" t="str">
        <f>IFERROR(RANK(P6,P$6:P$101),"")</f>
        <v/>
      </c>
      <c r="R6" s="222" t="e">
        <f>VLOOKUP($C$6,$C$7:$AC$102,16,FALSE)</f>
        <v>#N/A</v>
      </c>
      <c r="S6" s="227" t="str">
        <f>IFERROR(RANK(R6,R$6:R$101,0),"")</f>
        <v/>
      </c>
      <c r="T6" s="222" t="e">
        <f>VLOOKUP($C$6,$C$7:$AC$102,18,FALSE)</f>
        <v>#N/A</v>
      </c>
      <c r="U6" s="227" t="str">
        <f>IFERROR(RANK(T6,T$6:T$101,0),"")</f>
        <v/>
      </c>
      <c r="V6" s="291"/>
      <c r="W6" s="291"/>
      <c r="X6" s="291"/>
      <c r="Y6" s="291"/>
      <c r="Z6" s="291"/>
      <c r="AA6" s="291"/>
      <c r="AB6" s="291"/>
      <c r="AC6" s="292"/>
    </row>
    <row r="7" spans="1:29" s="179" customFormat="1" ht="12">
      <c r="C7" s="179" t="s">
        <v>129</v>
      </c>
      <c r="D7" s="179" t="s">
        <v>130</v>
      </c>
      <c r="F7" s="211">
        <v>867665</v>
      </c>
      <c r="G7" s="228">
        <f t="shared" ref="G7:G38" si="0">IFERROR(RANK(F7,F$7:F$102),"")</f>
        <v>36</v>
      </c>
      <c r="H7" s="212">
        <v>0.24056865264819949</v>
      </c>
      <c r="I7" s="228">
        <f t="shared" ref="I7:I38" si="1">IFERROR(RANK(H7,H$7:H$102),"")</f>
        <v>12</v>
      </c>
      <c r="J7" s="212">
        <v>0</v>
      </c>
      <c r="K7" s="228">
        <f t="shared" ref="K7:K38" si="2">IFERROR(RANK(J7,J$7:J$102),"")</f>
        <v>1</v>
      </c>
      <c r="L7" s="211">
        <v>0</v>
      </c>
      <c r="M7" s="228">
        <f t="shared" ref="M7:M38" si="3">IFERROR(RANK(L7,L$7:L$102),"")</f>
        <v>42</v>
      </c>
      <c r="N7" s="212">
        <v>0</v>
      </c>
      <c r="O7" s="228">
        <f t="shared" ref="O7:O38" si="4">IFERROR(IF(F7&gt;0,RANK(N7,N$7:N$102,1),""),"")</f>
        <v>1</v>
      </c>
      <c r="P7" s="212">
        <v>-2.4955483971348388E-2</v>
      </c>
      <c r="Q7" s="228">
        <f t="shared" ref="Q7:Q38" si="5">IFERROR(RANK(P7,P$7:P$102),"")</f>
        <v>26</v>
      </c>
      <c r="R7" s="212">
        <v>-6.5785758328387109E-3</v>
      </c>
      <c r="S7" s="228">
        <f t="shared" ref="S7:S38" si="6">IFERROR(IF(F7&gt;0,RANK(R7,R$7:R$102,0),""),"")</f>
        <v>31</v>
      </c>
      <c r="T7" s="212">
        <v>0.20903459284401238</v>
      </c>
      <c r="U7" s="228">
        <f t="shared" ref="U7:U38" si="7">IFERROR(IF(F7&gt;0,RANK(T7,T$7:T$102,0),""),"")</f>
        <v>1</v>
      </c>
    </row>
    <row r="8" spans="1:29" s="179" customFormat="1" ht="12">
      <c r="C8" s="179" t="s">
        <v>65</v>
      </c>
      <c r="D8" s="179" t="s">
        <v>66</v>
      </c>
      <c r="F8" s="211">
        <v>104381014</v>
      </c>
      <c r="G8" s="228">
        <f t="shared" si="0"/>
        <v>2</v>
      </c>
      <c r="H8" s="212">
        <v>0.2411822326232623</v>
      </c>
      <c r="I8" s="228">
        <f t="shared" si="1"/>
        <v>9</v>
      </c>
      <c r="J8" s="212">
        <v>-9.4399801481139092E-2</v>
      </c>
      <c r="K8" s="228">
        <f t="shared" si="2"/>
        <v>3</v>
      </c>
      <c r="L8" s="211">
        <v>2340.2240656458084</v>
      </c>
      <c r="M8" s="228">
        <f t="shared" si="3"/>
        <v>2</v>
      </c>
      <c r="N8" s="212">
        <v>2.9280541667600832E-2</v>
      </c>
      <c r="O8" s="228">
        <f t="shared" si="4"/>
        <v>24</v>
      </c>
      <c r="P8" s="212">
        <v>-1.4532834486547524E-2</v>
      </c>
      <c r="Q8" s="228">
        <f t="shared" si="5"/>
        <v>5</v>
      </c>
      <c r="R8" s="212">
        <v>-1.4893896317198069E-3</v>
      </c>
      <c r="S8" s="228">
        <f t="shared" si="6"/>
        <v>3</v>
      </c>
      <c r="T8" s="212">
        <v>0.13076020702385588</v>
      </c>
      <c r="U8" s="228">
        <f t="shared" si="7"/>
        <v>2</v>
      </c>
    </row>
    <row r="9" spans="1:29" s="179" customFormat="1" ht="12">
      <c r="C9" s="179" t="s">
        <v>63</v>
      </c>
      <c r="D9" s="179" t="s">
        <v>64</v>
      </c>
      <c r="F9" s="211">
        <v>107821503.37</v>
      </c>
      <c r="G9" s="228">
        <f t="shared" si="0"/>
        <v>1</v>
      </c>
      <c r="H9" s="212">
        <v>0.23898379798671507</v>
      </c>
      <c r="I9" s="228">
        <f t="shared" si="1"/>
        <v>13</v>
      </c>
      <c r="J9" s="212">
        <v>-9.8277312491529573E-2</v>
      </c>
      <c r="K9" s="228">
        <f t="shared" si="2"/>
        <v>5</v>
      </c>
      <c r="L9" s="211">
        <v>2234.0822999828024</v>
      </c>
      <c r="M9" s="228">
        <f t="shared" si="3"/>
        <v>3</v>
      </c>
      <c r="N9" s="212">
        <v>2.6521846334908759E-2</v>
      </c>
      <c r="O9" s="228">
        <f t="shared" si="4"/>
        <v>22</v>
      </c>
      <c r="P9" s="212">
        <v>-1.3332589651128698E-2</v>
      </c>
      <c r="Q9" s="228">
        <f t="shared" si="5"/>
        <v>4</v>
      </c>
      <c r="R9" s="212">
        <v>-2.30893905407433E-3</v>
      </c>
      <c r="S9" s="228">
        <f t="shared" si="6"/>
        <v>6</v>
      </c>
      <c r="T9" s="212">
        <v>0.12506495678998247</v>
      </c>
      <c r="U9" s="228">
        <f t="shared" si="7"/>
        <v>3</v>
      </c>
    </row>
    <row r="10" spans="1:29" s="179" customFormat="1" ht="12">
      <c r="C10" s="179" t="s">
        <v>81</v>
      </c>
      <c r="D10" s="179" t="s">
        <v>82</v>
      </c>
      <c r="F10" s="211">
        <v>54838137</v>
      </c>
      <c r="G10" s="228">
        <f t="shared" si="0"/>
        <v>10</v>
      </c>
      <c r="H10" s="212">
        <v>0.26187578181220855</v>
      </c>
      <c r="I10" s="228">
        <f t="shared" si="1"/>
        <v>2</v>
      </c>
      <c r="J10" s="212">
        <v>-0.11498572608329127</v>
      </c>
      <c r="K10" s="228">
        <f t="shared" si="2"/>
        <v>16</v>
      </c>
      <c r="L10" s="211">
        <v>1879.8435124513012</v>
      </c>
      <c r="M10" s="228">
        <f t="shared" si="3"/>
        <v>15</v>
      </c>
      <c r="N10" s="212">
        <v>8.4671247598267496E-3</v>
      </c>
      <c r="O10" s="228">
        <f t="shared" si="4"/>
        <v>11</v>
      </c>
      <c r="P10" s="212">
        <v>-2.2158683472416285E-2</v>
      </c>
      <c r="Q10" s="228">
        <f t="shared" si="5"/>
        <v>20</v>
      </c>
      <c r="R10" s="212">
        <v>-1.5048197206261765E-3</v>
      </c>
      <c r="S10" s="228">
        <f t="shared" si="6"/>
        <v>4</v>
      </c>
      <c r="T10" s="212">
        <v>0.12322655253587481</v>
      </c>
      <c r="U10" s="228">
        <f t="shared" si="7"/>
        <v>4</v>
      </c>
    </row>
    <row r="11" spans="1:29" s="179" customFormat="1" ht="12">
      <c r="C11" s="179" t="s">
        <v>89</v>
      </c>
      <c r="D11" s="179" t="s">
        <v>90</v>
      </c>
      <c r="F11" s="211">
        <v>62835503</v>
      </c>
      <c r="G11" s="228">
        <f t="shared" si="0"/>
        <v>7</v>
      </c>
      <c r="H11" s="212">
        <v>0.2409612603880962</v>
      </c>
      <c r="I11" s="228">
        <f t="shared" si="1"/>
        <v>10</v>
      </c>
      <c r="J11" s="212">
        <v>-9.9631179685153476E-2</v>
      </c>
      <c r="K11" s="228">
        <f t="shared" si="2"/>
        <v>6</v>
      </c>
      <c r="L11" s="211">
        <v>2120.099298198259</v>
      </c>
      <c r="M11" s="228">
        <f t="shared" si="3"/>
        <v>6</v>
      </c>
      <c r="N11" s="212">
        <v>1.2585194682502193E-2</v>
      </c>
      <c r="O11" s="228">
        <f t="shared" si="4"/>
        <v>16</v>
      </c>
      <c r="P11" s="212">
        <v>-1.618536323326639E-2</v>
      </c>
      <c r="Q11" s="228">
        <f t="shared" si="5"/>
        <v>6</v>
      </c>
      <c r="R11" s="212">
        <v>-2.6204612382907159E-3</v>
      </c>
      <c r="S11" s="228">
        <f t="shared" si="6"/>
        <v>7</v>
      </c>
      <c r="T11" s="212">
        <v>0.12252425623138562</v>
      </c>
      <c r="U11" s="228">
        <f t="shared" si="7"/>
        <v>5</v>
      </c>
    </row>
    <row r="12" spans="1:29" s="179" customFormat="1" ht="12">
      <c r="C12" s="179" t="s">
        <v>69</v>
      </c>
      <c r="D12" s="179" t="s">
        <v>70</v>
      </c>
      <c r="F12" s="211">
        <v>69679297</v>
      </c>
      <c r="G12" s="228">
        <f t="shared" si="0"/>
        <v>6</v>
      </c>
      <c r="H12" s="212">
        <v>0.23421202139855113</v>
      </c>
      <c r="I12" s="228">
        <f t="shared" si="1"/>
        <v>15</v>
      </c>
      <c r="J12" s="212">
        <v>-9.7923519521157049E-2</v>
      </c>
      <c r="K12" s="228">
        <f t="shared" si="2"/>
        <v>4</v>
      </c>
      <c r="L12" s="211">
        <v>2194.2088739135911</v>
      </c>
      <c r="M12" s="228">
        <f t="shared" si="3"/>
        <v>4</v>
      </c>
      <c r="N12" s="212">
        <v>4.4621488852500314E-2</v>
      </c>
      <c r="O12" s="228">
        <f t="shared" si="4"/>
        <v>30</v>
      </c>
      <c r="P12" s="212">
        <v>-1.7881050091535799E-2</v>
      </c>
      <c r="Q12" s="228">
        <f t="shared" si="5"/>
        <v>11</v>
      </c>
      <c r="R12" s="212">
        <v>-3.077556881780825E-3</v>
      </c>
      <c r="S12" s="228">
        <f t="shared" si="6"/>
        <v>10</v>
      </c>
      <c r="T12" s="212">
        <v>0.11532989490407747</v>
      </c>
      <c r="U12" s="228">
        <f t="shared" si="7"/>
        <v>6</v>
      </c>
    </row>
    <row r="13" spans="1:29" s="179" customFormat="1" ht="12">
      <c r="C13" s="179" t="s">
        <v>131</v>
      </c>
      <c r="D13" s="179" t="s">
        <v>132</v>
      </c>
      <c r="F13" s="211">
        <v>37961086</v>
      </c>
      <c r="G13" s="228">
        <f t="shared" si="0"/>
        <v>19</v>
      </c>
      <c r="H13" s="212">
        <v>0.28436117449326925</v>
      </c>
      <c r="I13" s="228">
        <f t="shared" si="1"/>
        <v>1</v>
      </c>
      <c r="J13" s="212">
        <v>-0.13204206012441266</v>
      </c>
      <c r="K13" s="228">
        <f t="shared" si="2"/>
        <v>28</v>
      </c>
      <c r="L13" s="211">
        <v>1650.482</v>
      </c>
      <c r="M13" s="228">
        <f t="shared" si="3"/>
        <v>27</v>
      </c>
      <c r="N13" s="212">
        <v>5.352173913043478E-2</v>
      </c>
      <c r="O13" s="228">
        <f t="shared" si="4"/>
        <v>34</v>
      </c>
      <c r="P13" s="212">
        <v>-3.3432973967077763E-2</v>
      </c>
      <c r="Q13" s="228">
        <f t="shared" si="5"/>
        <v>36</v>
      </c>
      <c r="R13" s="212">
        <v>-4.1415569617792285E-3</v>
      </c>
      <c r="S13" s="228">
        <f t="shared" si="6"/>
        <v>15</v>
      </c>
      <c r="T13" s="212">
        <v>0.11474458343999959</v>
      </c>
      <c r="U13" s="228">
        <f t="shared" si="7"/>
        <v>7</v>
      </c>
    </row>
    <row r="14" spans="1:29" s="179" customFormat="1" ht="12">
      <c r="C14" s="179" t="s">
        <v>91</v>
      </c>
      <c r="D14" s="179" t="s">
        <v>92</v>
      </c>
      <c r="F14" s="211">
        <v>47975349.789999999</v>
      </c>
      <c r="G14" s="228">
        <f t="shared" si="0"/>
        <v>11</v>
      </c>
      <c r="H14" s="212">
        <v>0.24079151169436425</v>
      </c>
      <c r="I14" s="228">
        <f t="shared" si="1"/>
        <v>11</v>
      </c>
      <c r="J14" s="212">
        <v>-0.1098276259175556</v>
      </c>
      <c r="K14" s="228">
        <f t="shared" si="2"/>
        <v>11</v>
      </c>
      <c r="L14" s="211">
        <v>2049.3178155862352</v>
      </c>
      <c r="M14" s="228">
        <f t="shared" si="3"/>
        <v>7</v>
      </c>
      <c r="N14" s="212">
        <v>2.2639510644841612E-3</v>
      </c>
      <c r="O14" s="228">
        <f t="shared" si="4"/>
        <v>7</v>
      </c>
      <c r="P14" s="212">
        <v>-1.7838478171521007E-2</v>
      </c>
      <c r="Q14" s="228">
        <f t="shared" si="5"/>
        <v>10</v>
      </c>
      <c r="R14" s="212">
        <v>-2.9036995167263375E-3</v>
      </c>
      <c r="S14" s="228">
        <f t="shared" si="6"/>
        <v>9</v>
      </c>
      <c r="T14" s="212">
        <v>0.11022170808856128</v>
      </c>
      <c r="U14" s="228">
        <f t="shared" si="7"/>
        <v>8</v>
      </c>
    </row>
    <row r="15" spans="1:29" s="179" customFormat="1" ht="12">
      <c r="C15" s="179" t="s">
        <v>95</v>
      </c>
      <c r="D15" s="179" t="s">
        <v>96</v>
      </c>
      <c r="F15" s="211">
        <v>80642809</v>
      </c>
      <c r="G15" s="228">
        <f t="shared" si="0"/>
        <v>3</v>
      </c>
      <c r="H15" s="212">
        <v>0.2441438888866086</v>
      </c>
      <c r="I15" s="228">
        <f t="shared" si="1"/>
        <v>6</v>
      </c>
      <c r="J15" s="212">
        <v>-0.11188646888527905</v>
      </c>
      <c r="K15" s="228">
        <f t="shared" si="2"/>
        <v>12</v>
      </c>
      <c r="L15" s="211">
        <v>1940.9225559403785</v>
      </c>
      <c r="M15" s="228">
        <f t="shared" si="3"/>
        <v>9</v>
      </c>
      <c r="N15" s="212">
        <v>1.9735876212733493E-3</v>
      </c>
      <c r="O15" s="228">
        <f t="shared" si="4"/>
        <v>5</v>
      </c>
      <c r="P15" s="212">
        <v>-1.8969668826888209E-2</v>
      </c>
      <c r="Q15" s="228">
        <f t="shared" si="5"/>
        <v>16</v>
      </c>
      <c r="R15" s="212">
        <v>-4.763735350538199E-3</v>
      </c>
      <c r="S15" s="228">
        <f t="shared" si="6"/>
        <v>21</v>
      </c>
      <c r="T15" s="212">
        <v>0.10852401582390317</v>
      </c>
      <c r="U15" s="228">
        <f t="shared" si="7"/>
        <v>9</v>
      </c>
    </row>
    <row r="16" spans="1:29" s="179" customFormat="1" ht="12">
      <c r="C16" s="179" t="s">
        <v>79</v>
      </c>
      <c r="D16" s="179" t="s">
        <v>80</v>
      </c>
      <c r="F16" s="211">
        <v>72865527.3653</v>
      </c>
      <c r="G16" s="228">
        <f t="shared" si="0"/>
        <v>5</v>
      </c>
      <c r="H16" s="212">
        <v>0.24852369638682903</v>
      </c>
      <c r="I16" s="228">
        <f t="shared" si="1"/>
        <v>5</v>
      </c>
      <c r="J16" s="212">
        <v>-0.11951170649383176</v>
      </c>
      <c r="K16" s="228">
        <f t="shared" si="2"/>
        <v>20</v>
      </c>
      <c r="L16" s="211">
        <v>1739.4936410478854</v>
      </c>
      <c r="M16" s="228">
        <f t="shared" si="3"/>
        <v>22</v>
      </c>
      <c r="N16" s="212">
        <v>1.1697601251691079E-3</v>
      </c>
      <c r="O16" s="228">
        <f t="shared" si="4"/>
        <v>4</v>
      </c>
      <c r="P16" s="212">
        <v>-1.9811885430578418E-2</v>
      </c>
      <c r="Q16" s="228">
        <f t="shared" si="5"/>
        <v>18</v>
      </c>
      <c r="R16" s="212">
        <v>-4.2032600472998588E-3</v>
      </c>
      <c r="S16" s="228">
        <f t="shared" si="6"/>
        <v>17</v>
      </c>
      <c r="T16" s="212">
        <v>0.104996844415119</v>
      </c>
      <c r="U16" s="228">
        <f t="shared" si="7"/>
        <v>10</v>
      </c>
    </row>
    <row r="17" spans="3:21" s="179" customFormat="1" ht="12">
      <c r="C17" s="179" t="s">
        <v>67</v>
      </c>
      <c r="D17" s="179" t="s">
        <v>68</v>
      </c>
      <c r="F17" s="211">
        <v>57616049.43</v>
      </c>
      <c r="G17" s="228">
        <f t="shared" si="0"/>
        <v>8</v>
      </c>
      <c r="H17" s="212">
        <v>0.25412862257744701</v>
      </c>
      <c r="I17" s="228">
        <f t="shared" si="1"/>
        <v>4</v>
      </c>
      <c r="J17" s="212">
        <v>-0.12697499312041952</v>
      </c>
      <c r="K17" s="228">
        <f t="shared" si="2"/>
        <v>27</v>
      </c>
      <c r="L17" s="211">
        <v>1740.3937821815196</v>
      </c>
      <c r="M17" s="228">
        <f t="shared" si="3"/>
        <v>21</v>
      </c>
      <c r="N17" s="212">
        <v>2.0540592136940503E-3</v>
      </c>
      <c r="O17" s="228">
        <f t="shared" si="4"/>
        <v>6</v>
      </c>
      <c r="P17" s="212">
        <v>-2.5739681471944335E-2</v>
      </c>
      <c r="Q17" s="228">
        <f t="shared" si="5"/>
        <v>27</v>
      </c>
      <c r="R17" s="212">
        <v>-3.144185028168114E-3</v>
      </c>
      <c r="S17" s="228">
        <f t="shared" si="6"/>
        <v>11</v>
      </c>
      <c r="T17" s="212">
        <v>9.826976295691503E-2</v>
      </c>
      <c r="U17" s="228">
        <f t="shared" si="7"/>
        <v>11</v>
      </c>
    </row>
    <row r="18" spans="3:21" s="179" customFormat="1" ht="12">
      <c r="C18" s="179" t="s">
        <v>83</v>
      </c>
      <c r="D18" s="179" t="s">
        <v>84</v>
      </c>
      <c r="F18" s="211">
        <v>32109964.510000002</v>
      </c>
      <c r="G18" s="228">
        <f t="shared" si="0"/>
        <v>22</v>
      </c>
      <c r="H18" s="212">
        <v>0.26014486180445795</v>
      </c>
      <c r="I18" s="228">
        <f t="shared" si="1"/>
        <v>3</v>
      </c>
      <c r="J18" s="212">
        <v>-0.13338562266757237</v>
      </c>
      <c r="K18" s="228">
        <f t="shared" si="2"/>
        <v>29</v>
      </c>
      <c r="L18" s="211">
        <v>1712.8511727522471</v>
      </c>
      <c r="M18" s="228">
        <f t="shared" si="3"/>
        <v>23</v>
      </c>
      <c r="N18" s="212">
        <v>6.881284506441202E-3</v>
      </c>
      <c r="O18" s="228">
        <f t="shared" si="4"/>
        <v>10</v>
      </c>
      <c r="P18" s="212">
        <v>-3.0454192488922185E-2</v>
      </c>
      <c r="Q18" s="228">
        <f t="shared" si="5"/>
        <v>34</v>
      </c>
      <c r="R18" s="212">
        <v>-4.270395563884726E-3</v>
      </c>
      <c r="S18" s="228">
        <f t="shared" si="6"/>
        <v>18</v>
      </c>
      <c r="T18" s="212">
        <v>9.2034651084078684E-2</v>
      </c>
      <c r="U18" s="228">
        <f t="shared" si="7"/>
        <v>12</v>
      </c>
    </row>
    <row r="19" spans="3:21" s="179" customFormat="1" ht="12">
      <c r="C19" s="179" t="s">
        <v>97</v>
      </c>
      <c r="D19" s="179" t="s">
        <v>98</v>
      </c>
      <c r="F19" s="211">
        <v>57036071</v>
      </c>
      <c r="G19" s="228">
        <f t="shared" si="0"/>
        <v>9</v>
      </c>
      <c r="H19" s="212">
        <v>0.21320085319341159</v>
      </c>
      <c r="I19" s="228">
        <f t="shared" si="1"/>
        <v>28</v>
      </c>
      <c r="J19" s="212">
        <v>-0.1030301859326881</v>
      </c>
      <c r="K19" s="228">
        <f t="shared" si="2"/>
        <v>7</v>
      </c>
      <c r="L19" s="211">
        <v>1907.0506553430521</v>
      </c>
      <c r="M19" s="228">
        <f t="shared" si="3"/>
        <v>11</v>
      </c>
      <c r="N19" s="212">
        <v>3.2466229771298649E-2</v>
      </c>
      <c r="O19" s="228">
        <f t="shared" si="4"/>
        <v>26</v>
      </c>
      <c r="P19" s="212">
        <v>-1.7633437618800915E-2</v>
      </c>
      <c r="Q19" s="228">
        <f t="shared" si="5"/>
        <v>9</v>
      </c>
      <c r="R19" s="212">
        <v>-1.6608612469116255E-3</v>
      </c>
      <c r="S19" s="228">
        <f t="shared" si="6"/>
        <v>5</v>
      </c>
      <c r="T19" s="212">
        <v>9.087636839501094E-2</v>
      </c>
      <c r="U19" s="228">
        <f t="shared" si="7"/>
        <v>13</v>
      </c>
    </row>
    <row r="20" spans="3:21" s="179" customFormat="1" ht="12">
      <c r="C20" s="179" t="s">
        <v>127</v>
      </c>
      <c r="D20" s="179" t="s">
        <v>128</v>
      </c>
      <c r="F20" s="211">
        <v>1125669</v>
      </c>
      <c r="G20" s="228">
        <f t="shared" si="0"/>
        <v>33</v>
      </c>
      <c r="H20" s="212">
        <v>0.22707829743912286</v>
      </c>
      <c r="I20" s="228">
        <f t="shared" si="1"/>
        <v>18</v>
      </c>
      <c r="J20" s="212">
        <v>-0.10574511690381454</v>
      </c>
      <c r="K20" s="228">
        <f t="shared" si="2"/>
        <v>10</v>
      </c>
      <c r="L20" s="211">
        <v>1901.4679054054054</v>
      </c>
      <c r="M20" s="228">
        <f t="shared" si="3"/>
        <v>12</v>
      </c>
      <c r="N20" s="212">
        <v>2.5337837837837839E-2</v>
      </c>
      <c r="O20" s="228">
        <f t="shared" si="4"/>
        <v>21</v>
      </c>
      <c r="P20" s="212">
        <v>-2.6702343228782174E-2</v>
      </c>
      <c r="Q20" s="228">
        <f t="shared" si="5"/>
        <v>29</v>
      </c>
      <c r="R20" s="212">
        <v>-4.0793519231674671E-3</v>
      </c>
      <c r="S20" s="228">
        <f t="shared" si="6"/>
        <v>14</v>
      </c>
      <c r="T20" s="212">
        <v>9.0551485383358693E-2</v>
      </c>
      <c r="U20" s="228">
        <f t="shared" si="7"/>
        <v>14</v>
      </c>
    </row>
    <row r="21" spans="3:21" s="179" customFormat="1" ht="12">
      <c r="C21" s="179" t="s">
        <v>99</v>
      </c>
      <c r="D21" s="179" t="s">
        <v>100</v>
      </c>
      <c r="F21" s="211">
        <v>43368972</v>
      </c>
      <c r="G21" s="228">
        <f t="shared" si="0"/>
        <v>15</v>
      </c>
      <c r="H21" s="212">
        <v>0.22361692133260619</v>
      </c>
      <c r="I21" s="228">
        <f t="shared" si="1"/>
        <v>21</v>
      </c>
      <c r="J21" s="212">
        <v>-0.11251659366055529</v>
      </c>
      <c r="K21" s="228">
        <f t="shared" si="2"/>
        <v>14</v>
      </c>
      <c r="L21" s="211">
        <v>1895.0000873896706</v>
      </c>
      <c r="M21" s="228">
        <f t="shared" si="3"/>
        <v>14</v>
      </c>
      <c r="N21" s="212">
        <v>2.0099624224416673E-2</v>
      </c>
      <c r="O21" s="228">
        <f t="shared" si="4"/>
        <v>20</v>
      </c>
      <c r="P21" s="212">
        <v>-1.8861341698392112E-2</v>
      </c>
      <c r="Q21" s="228">
        <f t="shared" si="5"/>
        <v>14</v>
      </c>
      <c r="R21" s="212">
        <v>-2.6964208420711469E-3</v>
      </c>
      <c r="S21" s="228">
        <f t="shared" si="6"/>
        <v>8</v>
      </c>
      <c r="T21" s="212">
        <v>8.954256513158762E-2</v>
      </c>
      <c r="U21" s="228">
        <f t="shared" si="7"/>
        <v>15</v>
      </c>
    </row>
    <row r="22" spans="3:21" s="179" customFormat="1" ht="12">
      <c r="C22" s="179" t="s">
        <v>85</v>
      </c>
      <c r="D22" s="179" t="s">
        <v>86</v>
      </c>
      <c r="F22" s="211">
        <v>75401349</v>
      </c>
      <c r="G22" s="228">
        <f t="shared" si="0"/>
        <v>4</v>
      </c>
      <c r="H22" s="212">
        <v>0.22460428393661763</v>
      </c>
      <c r="I22" s="228">
        <f t="shared" si="1"/>
        <v>20</v>
      </c>
      <c r="J22" s="212">
        <v>-0.11198770236856108</v>
      </c>
      <c r="K22" s="228">
        <f t="shared" si="2"/>
        <v>13</v>
      </c>
      <c r="L22" s="211">
        <v>1895.935353281368</v>
      </c>
      <c r="M22" s="228">
        <f t="shared" si="3"/>
        <v>13</v>
      </c>
      <c r="N22" s="212">
        <v>8.5743022378677401E-3</v>
      </c>
      <c r="O22" s="228">
        <f t="shared" si="4"/>
        <v>12</v>
      </c>
      <c r="P22" s="212">
        <v>-1.872324698063426E-2</v>
      </c>
      <c r="Q22" s="228">
        <f t="shared" si="5"/>
        <v>13</v>
      </c>
      <c r="R22" s="212">
        <v>-4.5000123273656548E-3</v>
      </c>
      <c r="S22" s="228">
        <f t="shared" si="6"/>
        <v>19</v>
      </c>
      <c r="T22" s="212">
        <v>8.939332226005664E-2</v>
      </c>
      <c r="U22" s="228">
        <f t="shared" si="7"/>
        <v>16</v>
      </c>
    </row>
    <row r="23" spans="3:21" s="179" customFormat="1" ht="12">
      <c r="C23" s="179" t="s">
        <v>107</v>
      </c>
      <c r="D23" s="179" t="s">
        <v>108</v>
      </c>
      <c r="F23" s="211">
        <v>40079264</v>
      </c>
      <c r="G23" s="228">
        <f t="shared" si="0"/>
        <v>17</v>
      </c>
      <c r="H23" s="212">
        <v>0.23363435516181136</v>
      </c>
      <c r="I23" s="228">
        <f t="shared" si="1"/>
        <v>16</v>
      </c>
      <c r="J23" s="212">
        <v>-0.12031126619490817</v>
      </c>
      <c r="K23" s="228">
        <f t="shared" si="2"/>
        <v>21</v>
      </c>
      <c r="L23" s="211">
        <v>1809.6109806754559</v>
      </c>
      <c r="M23" s="228">
        <f t="shared" si="3"/>
        <v>17</v>
      </c>
      <c r="N23" s="212">
        <v>4.5376557702727111E-2</v>
      </c>
      <c r="O23" s="228">
        <f t="shared" si="4"/>
        <v>31</v>
      </c>
      <c r="P23" s="212">
        <v>-1.9048777941630863E-2</v>
      </c>
      <c r="Q23" s="228">
        <f t="shared" si="5"/>
        <v>17</v>
      </c>
      <c r="R23" s="212">
        <v>-5.7394517025063131E-3</v>
      </c>
      <c r="S23" s="228">
        <f t="shared" si="6"/>
        <v>27</v>
      </c>
      <c r="T23" s="212">
        <v>8.8534859322766002E-2</v>
      </c>
      <c r="U23" s="228">
        <f t="shared" si="7"/>
        <v>17</v>
      </c>
    </row>
    <row r="24" spans="3:21" s="179" customFormat="1" ht="12">
      <c r="C24" s="179" t="s">
        <v>93</v>
      </c>
      <c r="D24" s="179" t="s">
        <v>94</v>
      </c>
      <c r="F24" s="211">
        <v>43862899</v>
      </c>
      <c r="G24" s="228">
        <f t="shared" si="0"/>
        <v>14</v>
      </c>
      <c r="H24" s="212">
        <v>0.2206533362056165</v>
      </c>
      <c r="I24" s="228">
        <f t="shared" si="1"/>
        <v>25</v>
      </c>
      <c r="J24" s="212">
        <v>-0.11267683036636497</v>
      </c>
      <c r="K24" s="228">
        <f t="shared" si="2"/>
        <v>15</v>
      </c>
      <c r="L24" s="211">
        <v>1875.6451219772937</v>
      </c>
      <c r="M24" s="228">
        <f t="shared" si="3"/>
        <v>16</v>
      </c>
      <c r="N24" s="212">
        <v>8.8944003763015544E-3</v>
      </c>
      <c r="O24" s="228">
        <f t="shared" si="4"/>
        <v>13</v>
      </c>
      <c r="P24" s="212">
        <v>-1.7163871681167266E-2</v>
      </c>
      <c r="Q24" s="228">
        <f t="shared" si="5"/>
        <v>7</v>
      </c>
      <c r="R24" s="212">
        <v>-3.8275171916931435E-3</v>
      </c>
      <c r="S24" s="228">
        <f t="shared" si="6"/>
        <v>13</v>
      </c>
      <c r="T24" s="212">
        <v>8.6985116966391121E-2</v>
      </c>
      <c r="U24" s="228">
        <f t="shared" si="7"/>
        <v>18</v>
      </c>
    </row>
    <row r="25" spans="3:21" s="179" customFormat="1" ht="12">
      <c r="C25" s="179" t="s">
        <v>143</v>
      </c>
      <c r="D25" s="179" t="s">
        <v>144</v>
      </c>
      <c r="F25" s="211">
        <v>1154505</v>
      </c>
      <c r="G25" s="228">
        <f t="shared" si="0"/>
        <v>32</v>
      </c>
      <c r="H25" s="212">
        <v>0.23724193485519768</v>
      </c>
      <c r="I25" s="228">
        <f t="shared" si="1"/>
        <v>14</v>
      </c>
      <c r="J25" s="212">
        <v>-0.12361748108496715</v>
      </c>
      <c r="K25" s="228">
        <f t="shared" si="2"/>
        <v>24</v>
      </c>
      <c r="L25" s="211">
        <v>1743.9652567975832</v>
      </c>
      <c r="M25" s="228">
        <f t="shared" si="3"/>
        <v>20</v>
      </c>
      <c r="N25" s="212">
        <v>1.2084592145015106E-2</v>
      </c>
      <c r="O25" s="228">
        <f t="shared" si="4"/>
        <v>15</v>
      </c>
      <c r="P25" s="212">
        <v>-3.0110740100735812E-2</v>
      </c>
      <c r="Q25" s="228">
        <f t="shared" si="5"/>
        <v>33</v>
      </c>
      <c r="R25" s="212">
        <v>-4.1714847488750588E-3</v>
      </c>
      <c r="S25" s="228">
        <f t="shared" si="6"/>
        <v>16</v>
      </c>
      <c r="T25" s="212">
        <v>7.9342228920619665E-2</v>
      </c>
      <c r="U25" s="228">
        <f t="shared" si="7"/>
        <v>19</v>
      </c>
    </row>
    <row r="26" spans="3:21" s="179" customFormat="1" ht="12">
      <c r="C26" s="179" t="s">
        <v>159</v>
      </c>
      <c r="D26" s="179" t="s">
        <v>160</v>
      </c>
      <c r="F26" s="211">
        <v>1116838</v>
      </c>
      <c r="G26" s="228">
        <f t="shared" si="0"/>
        <v>34</v>
      </c>
      <c r="H26" s="212">
        <v>0.21730725494655448</v>
      </c>
      <c r="I26" s="228">
        <f t="shared" si="1"/>
        <v>27</v>
      </c>
      <c r="J26" s="212">
        <v>-0.10418520859784498</v>
      </c>
      <c r="K26" s="228">
        <f t="shared" si="2"/>
        <v>8</v>
      </c>
      <c r="L26" s="211">
        <v>1925.5827586206897</v>
      </c>
      <c r="M26" s="228">
        <f t="shared" si="3"/>
        <v>10</v>
      </c>
      <c r="N26" s="212">
        <v>1.3793103448275862E-2</v>
      </c>
      <c r="O26" s="228">
        <f t="shared" si="4"/>
        <v>17</v>
      </c>
      <c r="P26" s="212">
        <v>-2.8708729466583337E-2</v>
      </c>
      <c r="Q26" s="228">
        <f t="shared" si="5"/>
        <v>30</v>
      </c>
      <c r="R26" s="212">
        <v>-5.2585961437558535E-3</v>
      </c>
      <c r="S26" s="228">
        <f t="shared" si="6"/>
        <v>26</v>
      </c>
      <c r="T26" s="212">
        <v>7.9154720738370293E-2</v>
      </c>
      <c r="U26" s="228">
        <f t="shared" si="7"/>
        <v>20</v>
      </c>
    </row>
    <row r="27" spans="3:21" s="179" customFormat="1" ht="12">
      <c r="C27" s="179" t="s">
        <v>73</v>
      </c>
      <c r="D27" s="179" t="s">
        <v>74</v>
      </c>
      <c r="F27" s="211">
        <v>36505026</v>
      </c>
      <c r="G27" s="228">
        <f t="shared" si="0"/>
        <v>20</v>
      </c>
      <c r="H27" s="212">
        <v>0.22000608902456337</v>
      </c>
      <c r="I27" s="228">
        <f t="shared" si="1"/>
        <v>26</v>
      </c>
      <c r="J27" s="212">
        <v>-0.11948373903363334</v>
      </c>
      <c r="K27" s="228">
        <f t="shared" si="2"/>
        <v>18</v>
      </c>
      <c r="L27" s="211">
        <v>1654.2813250555128</v>
      </c>
      <c r="M27" s="228">
        <f t="shared" si="3"/>
        <v>26</v>
      </c>
      <c r="N27" s="212">
        <v>3.9198803643449492E-2</v>
      </c>
      <c r="O27" s="228">
        <f t="shared" si="4"/>
        <v>27</v>
      </c>
      <c r="P27" s="212">
        <v>-2.4838497581127595E-2</v>
      </c>
      <c r="Q27" s="228">
        <f t="shared" si="5"/>
        <v>25</v>
      </c>
      <c r="R27" s="212">
        <v>-4.9718907199244287E-3</v>
      </c>
      <c r="S27" s="228">
        <f t="shared" si="6"/>
        <v>24</v>
      </c>
      <c r="T27" s="212">
        <v>7.0711961689877992E-2</v>
      </c>
      <c r="U27" s="228">
        <f t="shared" si="7"/>
        <v>21</v>
      </c>
    </row>
    <row r="28" spans="3:21" s="179" customFormat="1" ht="12">
      <c r="C28" s="179" t="s">
        <v>103</v>
      </c>
      <c r="D28" s="179" t="s">
        <v>104</v>
      </c>
      <c r="F28" s="211">
        <v>2778206</v>
      </c>
      <c r="G28" s="228">
        <f t="shared" si="0"/>
        <v>28</v>
      </c>
      <c r="H28" s="212">
        <v>0.22211203920803568</v>
      </c>
      <c r="I28" s="228">
        <f t="shared" si="1"/>
        <v>23</v>
      </c>
      <c r="J28" s="212">
        <v>-0.12409338976303413</v>
      </c>
      <c r="K28" s="228">
        <f t="shared" si="2"/>
        <v>25</v>
      </c>
      <c r="L28" s="211">
        <v>1657.6408114558471</v>
      </c>
      <c r="M28" s="228">
        <f t="shared" si="3"/>
        <v>25</v>
      </c>
      <c r="N28" s="212">
        <v>1.7899761336515514E-2</v>
      </c>
      <c r="O28" s="228">
        <f t="shared" si="4"/>
        <v>19</v>
      </c>
      <c r="P28" s="212">
        <v>-2.0698969046931723E-2</v>
      </c>
      <c r="Q28" s="228">
        <f t="shared" si="5"/>
        <v>19</v>
      </c>
      <c r="R28" s="212">
        <v>-7.12798115042585E-3</v>
      </c>
      <c r="S28" s="228">
        <f t="shared" si="6"/>
        <v>33</v>
      </c>
      <c r="T28" s="212">
        <v>7.0191699247643985E-2</v>
      </c>
      <c r="U28" s="228">
        <f t="shared" si="7"/>
        <v>22</v>
      </c>
    </row>
    <row r="29" spans="3:21" s="179" customFormat="1" ht="12">
      <c r="C29" s="179" t="s">
        <v>109</v>
      </c>
      <c r="D29" s="179" t="s">
        <v>110</v>
      </c>
      <c r="F29" s="211">
        <v>41378826</v>
      </c>
      <c r="G29" s="228">
        <f t="shared" si="0"/>
        <v>16</v>
      </c>
      <c r="H29" s="212">
        <v>0.20879451727315801</v>
      </c>
      <c r="I29" s="228">
        <f t="shared" si="1"/>
        <v>30</v>
      </c>
      <c r="J29" s="212">
        <v>-0.11745765817522227</v>
      </c>
      <c r="K29" s="228">
        <f t="shared" si="2"/>
        <v>17</v>
      </c>
      <c r="L29" s="211">
        <v>1773.707659993999</v>
      </c>
      <c r="M29" s="228">
        <f t="shared" si="3"/>
        <v>18</v>
      </c>
      <c r="N29" s="212">
        <v>6.1339963136010971E-2</v>
      </c>
      <c r="O29" s="228">
        <f t="shared" si="4"/>
        <v>36</v>
      </c>
      <c r="P29" s="212">
        <v>-1.8948072620523358E-2</v>
      </c>
      <c r="Q29" s="228">
        <f t="shared" si="5"/>
        <v>15</v>
      </c>
      <c r="R29" s="212">
        <v>-4.8418241735519512E-3</v>
      </c>
      <c r="S29" s="228">
        <f t="shared" si="6"/>
        <v>22</v>
      </c>
      <c r="T29" s="212">
        <v>6.7546962303860439E-2</v>
      </c>
      <c r="U29" s="228">
        <f t="shared" si="7"/>
        <v>23</v>
      </c>
    </row>
    <row r="30" spans="3:21" s="179" customFormat="1" ht="12">
      <c r="C30" s="179" t="s">
        <v>111</v>
      </c>
      <c r="D30" s="179" t="s">
        <v>112</v>
      </c>
      <c r="F30" s="211">
        <v>1079225</v>
      </c>
      <c r="G30" s="228">
        <f t="shared" si="0"/>
        <v>35</v>
      </c>
      <c r="H30" s="212">
        <v>0.22525793972526581</v>
      </c>
      <c r="I30" s="228">
        <f t="shared" si="1"/>
        <v>19</v>
      </c>
      <c r="J30" s="212">
        <v>-0.12429104218304803</v>
      </c>
      <c r="K30" s="228">
        <f t="shared" si="2"/>
        <v>26</v>
      </c>
      <c r="L30" s="211">
        <v>1746.3187702265373</v>
      </c>
      <c r="M30" s="228">
        <f t="shared" si="3"/>
        <v>19</v>
      </c>
      <c r="N30" s="212">
        <v>0</v>
      </c>
      <c r="O30" s="228">
        <f t="shared" si="4"/>
        <v>1</v>
      </c>
      <c r="P30" s="212">
        <v>-2.9095878987236212E-2</v>
      </c>
      <c r="Q30" s="228">
        <f t="shared" si="5"/>
        <v>32</v>
      </c>
      <c r="R30" s="212">
        <v>-4.5282494382543025E-3</v>
      </c>
      <c r="S30" s="228">
        <f t="shared" si="6"/>
        <v>20</v>
      </c>
      <c r="T30" s="212">
        <v>6.7342769116727277E-2</v>
      </c>
      <c r="U30" s="228">
        <f t="shared" si="7"/>
        <v>24</v>
      </c>
    </row>
    <row r="31" spans="3:21" s="179" customFormat="1" ht="12">
      <c r="C31" s="179" t="s">
        <v>133</v>
      </c>
      <c r="D31" s="179" t="s">
        <v>134</v>
      </c>
      <c r="F31" s="211">
        <v>1442437</v>
      </c>
      <c r="G31" s="228">
        <f t="shared" si="0"/>
        <v>30</v>
      </c>
      <c r="H31" s="212">
        <v>0.2282158596874595</v>
      </c>
      <c r="I31" s="228">
        <f t="shared" si="1"/>
        <v>17</v>
      </c>
      <c r="J31" s="212">
        <v>-0.14409156171118739</v>
      </c>
      <c r="K31" s="228">
        <f t="shared" si="2"/>
        <v>33</v>
      </c>
      <c r="L31" s="211">
        <v>1445.3276553106211</v>
      </c>
      <c r="M31" s="228">
        <f t="shared" si="3"/>
        <v>33</v>
      </c>
      <c r="N31" s="212">
        <v>6.0120240480961923E-3</v>
      </c>
      <c r="O31" s="228">
        <f t="shared" si="4"/>
        <v>9</v>
      </c>
      <c r="P31" s="212">
        <v>-1.2521170768636689E-2</v>
      </c>
      <c r="Q31" s="228">
        <f t="shared" si="5"/>
        <v>3</v>
      </c>
      <c r="R31" s="212">
        <v>-6.2747974434931991E-3</v>
      </c>
      <c r="S31" s="228">
        <f t="shared" si="6"/>
        <v>30</v>
      </c>
      <c r="T31" s="212">
        <v>6.5328329764142212E-2</v>
      </c>
      <c r="U31" s="228">
        <f t="shared" si="7"/>
        <v>25</v>
      </c>
    </row>
    <row r="32" spans="3:21" s="179" customFormat="1" ht="12">
      <c r="C32" s="179" t="s">
        <v>113</v>
      </c>
      <c r="D32" s="179" t="s">
        <v>114</v>
      </c>
      <c r="F32" s="211">
        <v>3625098</v>
      </c>
      <c r="G32" s="228">
        <f t="shared" si="0"/>
        <v>27</v>
      </c>
      <c r="H32" s="212">
        <v>0.20632407730770314</v>
      </c>
      <c r="I32" s="228">
        <f t="shared" si="1"/>
        <v>31</v>
      </c>
      <c r="J32" s="212">
        <v>-0.11948890761022185</v>
      </c>
      <c r="K32" s="228">
        <f t="shared" si="2"/>
        <v>19</v>
      </c>
      <c r="L32" s="211">
        <v>1989.6256860592755</v>
      </c>
      <c r="M32" s="228">
        <f t="shared" si="3"/>
        <v>8</v>
      </c>
      <c r="N32" s="212">
        <v>4.8847420417124039E-2</v>
      </c>
      <c r="O32" s="228">
        <f t="shared" si="4"/>
        <v>32</v>
      </c>
      <c r="P32" s="212">
        <v>-1.7285877512828618E-2</v>
      </c>
      <c r="Q32" s="228">
        <f t="shared" si="5"/>
        <v>8</v>
      </c>
      <c r="R32" s="212">
        <v>-6.2191422135346409E-3</v>
      </c>
      <c r="S32" s="228">
        <f t="shared" si="6"/>
        <v>29</v>
      </c>
      <c r="T32" s="212">
        <v>6.3330149971118022E-2</v>
      </c>
      <c r="U32" s="228">
        <f t="shared" si="7"/>
        <v>26</v>
      </c>
    </row>
    <row r="33" spans="3:21" s="179" customFormat="1" ht="12">
      <c r="C33" s="179" t="s">
        <v>139</v>
      </c>
      <c r="D33" s="179" t="s">
        <v>140</v>
      </c>
      <c r="F33" s="211">
        <v>1991978</v>
      </c>
      <c r="G33" s="228">
        <f t="shared" si="0"/>
        <v>29</v>
      </c>
      <c r="H33" s="212">
        <v>0.20891294984181552</v>
      </c>
      <c r="I33" s="228">
        <f t="shared" si="1"/>
        <v>29</v>
      </c>
      <c r="J33" s="212">
        <v>-0.12197423867131063</v>
      </c>
      <c r="K33" s="228">
        <f t="shared" si="2"/>
        <v>22</v>
      </c>
      <c r="L33" s="211">
        <v>1616.8652597402597</v>
      </c>
      <c r="M33" s="228">
        <f t="shared" si="3"/>
        <v>28</v>
      </c>
      <c r="N33" s="212">
        <v>1.6233766233766232E-2</v>
      </c>
      <c r="O33" s="228">
        <f t="shared" si="4"/>
        <v>18</v>
      </c>
      <c r="P33" s="212">
        <v>-2.383610662366753E-2</v>
      </c>
      <c r="Q33" s="228">
        <f t="shared" si="5"/>
        <v>22</v>
      </c>
      <c r="R33" s="212">
        <v>-1.0832448952749478E-2</v>
      </c>
      <c r="S33" s="228">
        <f t="shared" si="6"/>
        <v>39</v>
      </c>
      <c r="T33" s="212">
        <v>5.2270155594087889E-2</v>
      </c>
      <c r="U33" s="228">
        <f t="shared" si="7"/>
        <v>27</v>
      </c>
    </row>
    <row r="34" spans="3:21" s="179" customFormat="1" ht="12">
      <c r="C34" s="179" t="s">
        <v>137</v>
      </c>
      <c r="D34" s="179" t="s">
        <v>138</v>
      </c>
      <c r="F34" s="211">
        <v>5214430</v>
      </c>
      <c r="G34" s="228">
        <f t="shared" si="0"/>
        <v>26</v>
      </c>
      <c r="H34" s="212">
        <v>0.1601841428497458</v>
      </c>
      <c r="I34" s="228">
        <f t="shared" si="1"/>
        <v>41</v>
      </c>
      <c r="J34" s="212">
        <v>-0.10447201324018157</v>
      </c>
      <c r="K34" s="228">
        <f t="shared" si="2"/>
        <v>9</v>
      </c>
      <c r="L34" s="211">
        <v>2176.3063439065108</v>
      </c>
      <c r="M34" s="228">
        <f t="shared" si="3"/>
        <v>5</v>
      </c>
      <c r="N34" s="212">
        <v>9.849749582637729E-2</v>
      </c>
      <c r="O34" s="228">
        <f t="shared" si="4"/>
        <v>42</v>
      </c>
      <c r="P34" s="212">
        <v>-4.4269459940971499E-3</v>
      </c>
      <c r="Q34" s="228">
        <f t="shared" si="5"/>
        <v>2</v>
      </c>
      <c r="R34" s="212">
        <v>-4.9230692520563129E-3</v>
      </c>
      <c r="S34" s="228">
        <f t="shared" si="6"/>
        <v>23</v>
      </c>
      <c r="T34" s="212">
        <v>4.6362114363410763E-2</v>
      </c>
      <c r="U34" s="228">
        <f t="shared" si="7"/>
        <v>28</v>
      </c>
    </row>
    <row r="35" spans="3:21" s="179" customFormat="1" ht="12">
      <c r="C35" s="179" t="s">
        <v>141</v>
      </c>
      <c r="D35" s="179" t="s">
        <v>142</v>
      </c>
      <c r="F35" s="211">
        <v>32297164</v>
      </c>
      <c r="G35" s="228">
        <f t="shared" si="0"/>
        <v>21</v>
      </c>
      <c r="H35" s="212">
        <v>0.20093101672951841</v>
      </c>
      <c r="I35" s="228">
        <f t="shared" si="1"/>
        <v>35</v>
      </c>
      <c r="J35" s="212">
        <v>-0.13566503857738096</v>
      </c>
      <c r="K35" s="228">
        <f t="shared" si="2"/>
        <v>31</v>
      </c>
      <c r="L35" s="211">
        <v>1591.3068584942846</v>
      </c>
      <c r="M35" s="228">
        <f t="shared" si="3"/>
        <v>29</v>
      </c>
      <c r="N35" s="212">
        <v>5.0601103665746945E-2</v>
      </c>
      <c r="O35" s="228">
        <f t="shared" si="4"/>
        <v>33</v>
      </c>
      <c r="P35" s="212">
        <v>-2.4594791047288237E-2</v>
      </c>
      <c r="Q35" s="228">
        <f t="shared" si="5"/>
        <v>24</v>
      </c>
      <c r="R35" s="212">
        <v>-4.5267132433052015E-4</v>
      </c>
      <c r="S35" s="228">
        <f t="shared" si="6"/>
        <v>2</v>
      </c>
      <c r="T35" s="212">
        <v>4.0218515780518688E-2</v>
      </c>
      <c r="U35" s="228">
        <f t="shared" si="7"/>
        <v>29</v>
      </c>
    </row>
    <row r="36" spans="3:21" s="179" customFormat="1" ht="12">
      <c r="C36" s="179" t="s">
        <v>117</v>
      </c>
      <c r="D36" s="179" t="s">
        <v>118</v>
      </c>
      <c r="F36" s="211">
        <v>862897</v>
      </c>
      <c r="G36" s="228">
        <f t="shared" si="0"/>
        <v>37</v>
      </c>
      <c r="H36" s="212">
        <v>0.20329888735271998</v>
      </c>
      <c r="I36" s="228">
        <f t="shared" si="1"/>
        <v>33</v>
      </c>
      <c r="J36" s="212">
        <v>-0.13539738810078145</v>
      </c>
      <c r="K36" s="228">
        <f t="shared" si="2"/>
        <v>30</v>
      </c>
      <c r="L36" s="211">
        <v>1540.8875</v>
      </c>
      <c r="M36" s="228">
        <f t="shared" si="3"/>
        <v>31</v>
      </c>
      <c r="N36" s="212">
        <v>3.9285714285714285E-2</v>
      </c>
      <c r="O36" s="228">
        <f t="shared" si="4"/>
        <v>28</v>
      </c>
      <c r="P36" s="212">
        <v>-2.3849891702022372E-2</v>
      </c>
      <c r="Q36" s="228">
        <f t="shared" si="5"/>
        <v>23</v>
      </c>
      <c r="R36" s="212">
        <v>-1.0051025788709429E-2</v>
      </c>
      <c r="S36" s="228">
        <f t="shared" si="6"/>
        <v>38</v>
      </c>
      <c r="T36" s="212">
        <v>3.4000581761206725E-2</v>
      </c>
      <c r="U36" s="228">
        <f t="shared" si="7"/>
        <v>30</v>
      </c>
    </row>
    <row r="37" spans="3:21" s="179" customFormat="1" ht="12">
      <c r="C37" s="179" t="s">
        <v>105</v>
      </c>
      <c r="D37" s="179" t="s">
        <v>106</v>
      </c>
      <c r="F37" s="211">
        <v>1386766</v>
      </c>
      <c r="G37" s="228">
        <f t="shared" si="0"/>
        <v>31</v>
      </c>
      <c r="H37" s="212">
        <v>0.19179010734327204</v>
      </c>
      <c r="I37" s="228">
        <f t="shared" si="1"/>
        <v>37</v>
      </c>
      <c r="J37" s="212">
        <v>-0.13750697666369091</v>
      </c>
      <c r="K37" s="228">
        <f t="shared" si="2"/>
        <v>32</v>
      </c>
      <c r="L37" s="211">
        <v>1568.7398190045249</v>
      </c>
      <c r="M37" s="228">
        <f t="shared" si="3"/>
        <v>30</v>
      </c>
      <c r="N37" s="212">
        <v>9.0497737556561094E-3</v>
      </c>
      <c r="O37" s="228">
        <f t="shared" si="4"/>
        <v>14</v>
      </c>
      <c r="P37" s="212">
        <v>-1.8002316180235164E-2</v>
      </c>
      <c r="Q37" s="228">
        <f t="shared" si="5"/>
        <v>12</v>
      </c>
      <c r="R37" s="212">
        <v>-6.9507040120683665E-3</v>
      </c>
      <c r="S37" s="228">
        <f t="shared" si="6"/>
        <v>32</v>
      </c>
      <c r="T37" s="212">
        <v>2.9330110487277593E-2</v>
      </c>
      <c r="U37" s="228">
        <f t="shared" si="7"/>
        <v>31</v>
      </c>
    </row>
    <row r="38" spans="3:21" s="179" customFormat="1" ht="12">
      <c r="C38" s="179" t="s">
        <v>115</v>
      </c>
      <c r="D38" s="179" t="s">
        <v>116</v>
      </c>
      <c r="F38" s="211">
        <v>797497</v>
      </c>
      <c r="G38" s="228">
        <f t="shared" si="0"/>
        <v>39</v>
      </c>
      <c r="H38" s="212">
        <v>0.22189299771660584</v>
      </c>
      <c r="I38" s="228">
        <f t="shared" si="1"/>
        <v>24</v>
      </c>
      <c r="J38" s="212">
        <v>-0.14644318411229132</v>
      </c>
      <c r="K38" s="228">
        <f t="shared" si="2"/>
        <v>34</v>
      </c>
      <c r="L38" s="211">
        <v>1414.0017730496454</v>
      </c>
      <c r="M38" s="228">
        <f t="shared" si="3"/>
        <v>34</v>
      </c>
      <c r="N38" s="212">
        <v>9.0425531914893623E-2</v>
      </c>
      <c r="O38" s="228">
        <f t="shared" si="4"/>
        <v>41</v>
      </c>
      <c r="P38" s="212">
        <v>-4.1338086538256567E-2</v>
      </c>
      <c r="Q38" s="228">
        <f t="shared" si="5"/>
        <v>38</v>
      </c>
      <c r="R38" s="212">
        <v>-5.9636587974625614E-3</v>
      </c>
      <c r="S38" s="228">
        <f t="shared" si="6"/>
        <v>28</v>
      </c>
      <c r="T38" s="212">
        <v>2.8148068268595366E-2</v>
      </c>
      <c r="U38" s="228">
        <f t="shared" si="7"/>
        <v>32</v>
      </c>
    </row>
    <row r="39" spans="3:21" s="179" customFormat="1" ht="12">
      <c r="C39" s="179" t="s">
        <v>151</v>
      </c>
      <c r="D39" s="179" t="s">
        <v>152</v>
      </c>
      <c r="F39" s="211">
        <v>5926615</v>
      </c>
      <c r="G39" s="228">
        <f t="shared" ref="G39:G70" si="8">IFERROR(RANK(F39,F$7:F$102),"")</f>
        <v>25</v>
      </c>
      <c r="H39" s="212">
        <v>0.18638514565228212</v>
      </c>
      <c r="I39" s="228">
        <f t="shared" ref="I39:I70" si="9">IFERROR(RANK(H39,H$7:H$102),"")</f>
        <v>38</v>
      </c>
      <c r="J39" s="212">
        <v>-0.12261417352063531</v>
      </c>
      <c r="K39" s="228">
        <f t="shared" ref="K39:K70" si="10">IFERROR(RANK(J39,J$7:J$102),"")</f>
        <v>23</v>
      </c>
      <c r="L39" s="211">
        <v>1705.0100690448792</v>
      </c>
      <c r="M39" s="228">
        <f t="shared" ref="M39:M70" si="11">IFERROR(RANK(L39,L$7:L$102),"")</f>
        <v>24</v>
      </c>
      <c r="N39" s="212">
        <v>4.3153049482163405E-2</v>
      </c>
      <c r="O39" s="228">
        <f t="shared" ref="O39:O70" si="12">IFERROR(IF(F39&gt;0,RANK(N39,N$7:N$102,1),""),"")</f>
        <v>29</v>
      </c>
      <c r="P39" s="212">
        <v>-3.2274240860929893E-2</v>
      </c>
      <c r="Q39" s="228">
        <f t="shared" ref="Q39:Q70" si="13">IFERROR(RANK(P39,P$7:P$102),"")</f>
        <v>35</v>
      </c>
      <c r="R39" s="212">
        <v>-7.2329651917662947E-3</v>
      </c>
      <c r="S39" s="228">
        <f t="shared" ref="S39:S70" si="14">IFERROR(IF(F39&gt;0,RANK(R39,R$7:R$102,0),""),"")</f>
        <v>34</v>
      </c>
      <c r="T39" s="212">
        <v>2.4263766078950633E-2</v>
      </c>
      <c r="U39" s="228">
        <f t="shared" ref="U39:U70" si="15">IFERROR(IF(F39&gt;0,RANK(T39,T$7:T$102,0),""),"")</f>
        <v>33</v>
      </c>
    </row>
    <row r="40" spans="3:21" s="179" customFormat="1" ht="12">
      <c r="C40" s="179" t="s">
        <v>87</v>
      </c>
      <c r="D40" s="179" t="s">
        <v>88</v>
      </c>
      <c r="F40" s="211">
        <v>39259927.789999999</v>
      </c>
      <c r="G40" s="228">
        <f t="shared" si="8"/>
        <v>18</v>
      </c>
      <c r="H40" s="212">
        <v>0.24348305099111339</v>
      </c>
      <c r="I40" s="228">
        <f t="shared" si="9"/>
        <v>7</v>
      </c>
      <c r="J40" s="212">
        <v>-0.17832736874730762</v>
      </c>
      <c r="K40" s="228">
        <f t="shared" si="10"/>
        <v>41</v>
      </c>
      <c r="L40" s="211">
        <v>1170.3367031500777</v>
      </c>
      <c r="M40" s="228">
        <f t="shared" si="11"/>
        <v>39</v>
      </c>
      <c r="N40" s="212">
        <v>5.9918010698196862E-3</v>
      </c>
      <c r="O40" s="228">
        <f t="shared" si="12"/>
        <v>8</v>
      </c>
      <c r="P40" s="212">
        <v>-3.7978525023670197E-2</v>
      </c>
      <c r="Q40" s="228">
        <f t="shared" si="13"/>
        <v>37</v>
      </c>
      <c r="R40" s="212">
        <v>-5.2135730125345706E-3</v>
      </c>
      <c r="S40" s="228">
        <f t="shared" si="14"/>
        <v>25</v>
      </c>
      <c r="T40" s="212">
        <v>2.1963584207601011E-2</v>
      </c>
      <c r="U40" s="228">
        <f t="shared" si="15"/>
        <v>34</v>
      </c>
    </row>
    <row r="41" spans="3:21" s="179" customFormat="1" ht="12">
      <c r="C41" s="179" t="s">
        <v>135</v>
      </c>
      <c r="D41" s="179" t="s">
        <v>136</v>
      </c>
      <c r="F41" s="211">
        <v>683551</v>
      </c>
      <c r="G41" s="228">
        <f t="shared" si="8"/>
        <v>41</v>
      </c>
      <c r="H41" s="212">
        <v>0.24243545836375047</v>
      </c>
      <c r="I41" s="228">
        <f t="shared" si="9"/>
        <v>8</v>
      </c>
      <c r="J41" s="212">
        <v>-0.17706359876585653</v>
      </c>
      <c r="K41" s="228">
        <f t="shared" si="10"/>
        <v>40</v>
      </c>
      <c r="L41" s="211">
        <v>1197.1120840630472</v>
      </c>
      <c r="M41" s="228">
        <f t="shared" si="11"/>
        <v>38</v>
      </c>
      <c r="N41" s="212">
        <v>0</v>
      </c>
      <c r="O41" s="228">
        <f t="shared" si="12"/>
        <v>1</v>
      </c>
      <c r="P41" s="212">
        <v>-5.0028454350882379E-2</v>
      </c>
      <c r="Q41" s="228">
        <f t="shared" si="13"/>
        <v>40</v>
      </c>
      <c r="R41" s="212">
        <v>-1.1813310199238975E-2</v>
      </c>
      <c r="S41" s="228">
        <f t="shared" si="14"/>
        <v>40</v>
      </c>
      <c r="T41" s="212">
        <v>3.5300950477725876E-3</v>
      </c>
      <c r="U41" s="228">
        <f t="shared" si="15"/>
        <v>35</v>
      </c>
    </row>
    <row r="42" spans="3:21" s="179" customFormat="1" ht="12">
      <c r="C42" s="179" t="s">
        <v>119</v>
      </c>
      <c r="D42" s="179" t="s">
        <v>120</v>
      </c>
      <c r="F42" s="211">
        <v>27868024</v>
      </c>
      <c r="G42" s="228">
        <f t="shared" si="8"/>
        <v>23</v>
      </c>
      <c r="H42" s="212">
        <v>1.1213353340014347E-2</v>
      </c>
      <c r="I42" s="228">
        <f t="shared" si="9"/>
        <v>42</v>
      </c>
      <c r="J42" s="212">
        <v>-7.1230741009839808E-3</v>
      </c>
      <c r="K42" s="228">
        <f t="shared" si="10"/>
        <v>2</v>
      </c>
      <c r="L42" s="211">
        <v>31277.243546576879</v>
      </c>
      <c r="M42" s="228">
        <f t="shared" si="11"/>
        <v>1</v>
      </c>
      <c r="N42" s="212">
        <v>6.7340067340067339E-2</v>
      </c>
      <c r="O42" s="228">
        <f t="shared" si="12"/>
        <v>37</v>
      </c>
      <c r="P42" s="212">
        <v>-2.0050219563468152E-3</v>
      </c>
      <c r="Q42" s="228">
        <f t="shared" si="13"/>
        <v>1</v>
      </c>
      <c r="R42" s="212">
        <v>-3.5535350479101068E-4</v>
      </c>
      <c r="S42" s="228">
        <f t="shared" si="14"/>
        <v>1</v>
      </c>
      <c r="T42" s="212">
        <v>1.7299037778925408E-3</v>
      </c>
      <c r="U42" s="228">
        <f t="shared" si="15"/>
        <v>36</v>
      </c>
    </row>
    <row r="43" spans="3:21" s="179" customFormat="1" ht="12">
      <c r="C43" s="179" t="s">
        <v>101</v>
      </c>
      <c r="D43" s="179" t="s">
        <v>102</v>
      </c>
      <c r="F43" s="211">
        <v>45424761</v>
      </c>
      <c r="G43" s="228">
        <f t="shared" si="8"/>
        <v>12</v>
      </c>
      <c r="H43" s="212">
        <v>0.2034763815268065</v>
      </c>
      <c r="I43" s="228">
        <f t="shared" si="9"/>
        <v>32</v>
      </c>
      <c r="J43" s="212">
        <v>-0.16612650972450907</v>
      </c>
      <c r="K43" s="228">
        <f t="shared" si="10"/>
        <v>37</v>
      </c>
      <c r="L43" s="211">
        <v>1356.2869043353637</v>
      </c>
      <c r="M43" s="228">
        <f t="shared" si="11"/>
        <v>35</v>
      </c>
      <c r="N43" s="212">
        <v>3.1529917592260835E-2</v>
      </c>
      <c r="O43" s="228">
        <f t="shared" si="12"/>
        <v>25</v>
      </c>
      <c r="P43" s="212">
        <v>-2.8718786214417286E-2</v>
      </c>
      <c r="Q43" s="228">
        <f t="shared" si="13"/>
        <v>31</v>
      </c>
      <c r="R43" s="212">
        <v>-8.6220596735775892E-3</v>
      </c>
      <c r="S43" s="228">
        <f t="shared" si="14"/>
        <v>36</v>
      </c>
      <c r="T43" s="212">
        <v>9.0259143025540627E-6</v>
      </c>
      <c r="U43" s="228">
        <f t="shared" si="15"/>
        <v>37</v>
      </c>
    </row>
    <row r="44" spans="3:21" s="179" customFormat="1" ht="12">
      <c r="C44" s="179" t="s">
        <v>125</v>
      </c>
      <c r="D44" s="179" t="s">
        <v>126</v>
      </c>
      <c r="F44" s="211">
        <v>578286</v>
      </c>
      <c r="G44" s="228">
        <f t="shared" si="8"/>
        <v>42</v>
      </c>
      <c r="H44" s="212">
        <v>0.22304534434518561</v>
      </c>
      <c r="I44" s="228">
        <f t="shared" si="9"/>
        <v>22</v>
      </c>
      <c r="J44" s="212">
        <v>-0.17381019080524171</v>
      </c>
      <c r="K44" s="228">
        <f t="shared" si="10"/>
        <v>39</v>
      </c>
      <c r="L44" s="211">
        <v>1161.2168674698796</v>
      </c>
      <c r="M44" s="228">
        <f t="shared" si="11"/>
        <v>40</v>
      </c>
      <c r="N44" s="212">
        <v>8.0321285140562249E-2</v>
      </c>
      <c r="O44" s="228">
        <f t="shared" si="12"/>
        <v>39</v>
      </c>
      <c r="P44" s="212">
        <v>-4.7870776743687379E-2</v>
      </c>
      <c r="Q44" s="228">
        <f t="shared" si="13"/>
        <v>39</v>
      </c>
      <c r="R44" s="212">
        <v>-3.7161542904376034E-3</v>
      </c>
      <c r="S44" s="228">
        <f t="shared" si="14"/>
        <v>12</v>
      </c>
      <c r="T44" s="212">
        <v>-2.3517774941810799E-3</v>
      </c>
      <c r="U44" s="228">
        <f t="shared" si="15"/>
        <v>38</v>
      </c>
    </row>
    <row r="45" spans="3:21" s="179" customFormat="1" ht="12">
      <c r="C45" s="179" t="s">
        <v>149</v>
      </c>
      <c r="D45" s="179" t="s">
        <v>150</v>
      </c>
      <c r="F45" s="211">
        <v>15218862</v>
      </c>
      <c r="G45" s="228">
        <f t="shared" si="8"/>
        <v>24</v>
      </c>
      <c r="H45" s="212">
        <v>0.18096103374877834</v>
      </c>
      <c r="I45" s="228">
        <f t="shared" si="9"/>
        <v>39</v>
      </c>
      <c r="J45" s="212">
        <v>-0.15813232290298709</v>
      </c>
      <c r="K45" s="228">
        <f t="shared" si="10"/>
        <v>36</v>
      </c>
      <c r="L45" s="211">
        <v>1261.6150211390202</v>
      </c>
      <c r="M45" s="228">
        <f t="shared" si="11"/>
        <v>37</v>
      </c>
      <c r="N45" s="212">
        <v>7.1126585426510819E-2</v>
      </c>
      <c r="O45" s="228">
        <f t="shared" si="12"/>
        <v>38</v>
      </c>
      <c r="P45" s="212">
        <v>-2.2269142068572539E-2</v>
      </c>
      <c r="Q45" s="228">
        <f t="shared" si="13"/>
        <v>21</v>
      </c>
      <c r="R45" s="212">
        <v>-8.0807618861383993E-3</v>
      </c>
      <c r="S45" s="228">
        <f t="shared" si="14"/>
        <v>35</v>
      </c>
      <c r="T45" s="212">
        <v>-7.5211931089197073E-3</v>
      </c>
      <c r="U45" s="228">
        <f t="shared" si="15"/>
        <v>39</v>
      </c>
    </row>
    <row r="46" spans="3:21" s="179" customFormat="1" ht="12">
      <c r="C46" s="179" t="s">
        <v>121</v>
      </c>
      <c r="D46" s="179" t="s">
        <v>122</v>
      </c>
      <c r="F46" s="211">
        <v>811762</v>
      </c>
      <c r="G46" s="228">
        <f t="shared" si="8"/>
        <v>38</v>
      </c>
      <c r="H46" s="212">
        <v>0.19373412404128304</v>
      </c>
      <c r="I46" s="228">
        <f t="shared" si="9"/>
        <v>36</v>
      </c>
      <c r="J46" s="212">
        <v>-0.1480347688115482</v>
      </c>
      <c r="K46" s="228">
        <f t="shared" si="10"/>
        <v>35</v>
      </c>
      <c r="L46" s="211">
        <v>1478.6193078324227</v>
      </c>
      <c r="M46" s="228">
        <f t="shared" si="11"/>
        <v>32</v>
      </c>
      <c r="N46" s="212">
        <v>8.3788706739526417E-2</v>
      </c>
      <c r="O46" s="228">
        <f t="shared" si="12"/>
        <v>40</v>
      </c>
      <c r="P46" s="212">
        <v>-6.630884421788652E-2</v>
      </c>
      <c r="Q46" s="228">
        <f t="shared" si="13"/>
        <v>42</v>
      </c>
      <c r="R46" s="212">
        <v>-9.2403931201509807E-3</v>
      </c>
      <c r="S46" s="228">
        <f t="shared" si="14"/>
        <v>37</v>
      </c>
      <c r="T46" s="212">
        <v>-2.9849882108302681E-2</v>
      </c>
      <c r="U46" s="228">
        <f t="shared" si="15"/>
        <v>40</v>
      </c>
    </row>
    <row r="47" spans="3:21" s="179" customFormat="1" ht="12">
      <c r="C47" s="179" t="s">
        <v>145</v>
      </c>
      <c r="D47" s="179" t="s">
        <v>146</v>
      </c>
      <c r="F47" s="211">
        <v>777251</v>
      </c>
      <c r="G47" s="228">
        <f t="shared" si="8"/>
        <v>40</v>
      </c>
      <c r="H47" s="212">
        <v>0.17183380915560095</v>
      </c>
      <c r="I47" s="228">
        <f t="shared" si="9"/>
        <v>40</v>
      </c>
      <c r="J47" s="212">
        <v>-0.16827254001603087</v>
      </c>
      <c r="K47" s="228">
        <f t="shared" si="10"/>
        <v>38</v>
      </c>
      <c r="L47" s="211">
        <v>1315.1455160744501</v>
      </c>
      <c r="M47" s="228">
        <f t="shared" si="11"/>
        <v>36</v>
      </c>
      <c r="N47" s="212">
        <v>5.4145516074450083E-2</v>
      </c>
      <c r="O47" s="228">
        <f t="shared" si="12"/>
        <v>35</v>
      </c>
      <c r="P47" s="212">
        <v>-2.6248920876267769E-2</v>
      </c>
      <c r="Q47" s="228">
        <f t="shared" si="13"/>
        <v>28</v>
      </c>
      <c r="R47" s="212">
        <v>-1.4344143655009772E-2</v>
      </c>
      <c r="S47" s="228">
        <f t="shared" si="14"/>
        <v>42</v>
      </c>
      <c r="T47" s="212">
        <v>-3.7031795391707444E-2</v>
      </c>
      <c r="U47" s="228">
        <f t="shared" si="15"/>
        <v>41</v>
      </c>
    </row>
    <row r="48" spans="3:21" s="179" customFormat="1" ht="12">
      <c r="C48" s="179" t="s">
        <v>71</v>
      </c>
      <c r="D48" s="179" t="s">
        <v>72</v>
      </c>
      <c r="F48" s="211">
        <v>45171978</v>
      </c>
      <c r="G48" s="228">
        <f t="shared" si="8"/>
        <v>13</v>
      </c>
      <c r="H48" s="212">
        <v>0.20258506280154479</v>
      </c>
      <c r="I48" s="228">
        <f t="shared" si="9"/>
        <v>34</v>
      </c>
      <c r="J48" s="212">
        <v>-0.18877147686559131</v>
      </c>
      <c r="K48" s="228">
        <f t="shared" si="10"/>
        <v>42</v>
      </c>
      <c r="L48" s="211">
        <v>1092.3506879791066</v>
      </c>
      <c r="M48" s="228">
        <f t="shared" si="11"/>
        <v>41</v>
      </c>
      <c r="N48" s="212">
        <v>2.8873358643871062E-2</v>
      </c>
      <c r="O48" s="228">
        <f t="shared" si="12"/>
        <v>23</v>
      </c>
      <c r="P48" s="212">
        <v>-6.1580854396059433E-2</v>
      </c>
      <c r="Q48" s="228">
        <f t="shared" si="13"/>
        <v>41</v>
      </c>
      <c r="R48" s="212">
        <v>-1.3139960353296905E-2</v>
      </c>
      <c r="S48" s="228">
        <f t="shared" si="14"/>
        <v>41</v>
      </c>
      <c r="T48" s="212">
        <v>-6.090722881340286E-2</v>
      </c>
      <c r="U48" s="228">
        <f t="shared" si="15"/>
        <v>42</v>
      </c>
    </row>
    <row r="49" spans="6:21" s="179" customFormat="1" ht="12">
      <c r="F49" s="211"/>
      <c r="G49" s="228" t="str">
        <f t="shared" si="8"/>
        <v/>
      </c>
      <c r="H49" s="212"/>
      <c r="I49" s="228" t="str">
        <f t="shared" si="9"/>
        <v/>
      </c>
      <c r="J49" s="212"/>
      <c r="K49" s="228">
        <f t="shared" si="10"/>
        <v>1</v>
      </c>
      <c r="L49" s="211"/>
      <c r="M49" s="228">
        <f t="shared" si="11"/>
        <v>42</v>
      </c>
      <c r="N49" s="212"/>
      <c r="O49" s="228" t="str">
        <f t="shared" si="12"/>
        <v/>
      </c>
      <c r="P49" s="212"/>
      <c r="Q49" s="228" t="str">
        <f t="shared" si="13"/>
        <v/>
      </c>
      <c r="R49" s="212"/>
      <c r="S49" s="228" t="str">
        <f t="shared" si="14"/>
        <v/>
      </c>
      <c r="T49" s="212"/>
      <c r="U49" s="228" t="str">
        <f t="shared" si="15"/>
        <v/>
      </c>
    </row>
    <row r="50" spans="6:21" s="179" customFormat="1" ht="12">
      <c r="F50" s="211"/>
      <c r="G50" s="228" t="str">
        <f t="shared" si="8"/>
        <v/>
      </c>
      <c r="H50" s="212"/>
      <c r="I50" s="228" t="str">
        <f t="shared" si="9"/>
        <v/>
      </c>
      <c r="J50" s="212"/>
      <c r="K50" s="228">
        <f t="shared" si="10"/>
        <v>1</v>
      </c>
      <c r="L50" s="211"/>
      <c r="M50" s="228">
        <f t="shared" si="11"/>
        <v>42</v>
      </c>
      <c r="N50" s="212"/>
      <c r="O50" s="228" t="str">
        <f t="shared" si="12"/>
        <v/>
      </c>
      <c r="P50" s="212"/>
      <c r="Q50" s="228" t="str">
        <f t="shared" si="13"/>
        <v/>
      </c>
      <c r="R50" s="212"/>
      <c r="S50" s="228" t="str">
        <f t="shared" si="14"/>
        <v/>
      </c>
      <c r="T50" s="212"/>
      <c r="U50" s="228" t="str">
        <f t="shared" si="15"/>
        <v/>
      </c>
    </row>
    <row r="51" spans="6:21" s="179" customFormat="1" ht="12">
      <c r="F51" s="211"/>
      <c r="G51" s="228" t="str">
        <f t="shared" si="8"/>
        <v/>
      </c>
      <c r="H51" s="212"/>
      <c r="I51" s="228" t="str">
        <f t="shared" si="9"/>
        <v/>
      </c>
      <c r="J51" s="212"/>
      <c r="K51" s="228">
        <f t="shared" si="10"/>
        <v>1</v>
      </c>
      <c r="L51" s="211"/>
      <c r="M51" s="228">
        <f t="shared" si="11"/>
        <v>42</v>
      </c>
      <c r="N51" s="212"/>
      <c r="O51" s="228" t="str">
        <f t="shared" si="12"/>
        <v/>
      </c>
      <c r="P51" s="212"/>
      <c r="Q51" s="228" t="str">
        <f t="shared" si="13"/>
        <v/>
      </c>
      <c r="R51" s="212"/>
      <c r="S51" s="228" t="str">
        <f t="shared" si="14"/>
        <v/>
      </c>
      <c r="T51" s="212"/>
      <c r="U51" s="228" t="str">
        <f t="shared" si="15"/>
        <v/>
      </c>
    </row>
    <row r="52" spans="6:21" s="179" customFormat="1" ht="12">
      <c r="F52" s="211"/>
      <c r="G52" s="228" t="str">
        <f t="shared" si="8"/>
        <v/>
      </c>
      <c r="H52" s="212"/>
      <c r="I52" s="228" t="str">
        <f t="shared" si="9"/>
        <v/>
      </c>
      <c r="J52" s="212"/>
      <c r="K52" s="228">
        <f t="shared" si="10"/>
        <v>1</v>
      </c>
      <c r="L52" s="211"/>
      <c r="M52" s="228">
        <f t="shared" si="11"/>
        <v>42</v>
      </c>
      <c r="N52" s="212"/>
      <c r="O52" s="228" t="str">
        <f t="shared" si="12"/>
        <v/>
      </c>
      <c r="P52" s="212"/>
      <c r="Q52" s="228" t="str">
        <f t="shared" si="13"/>
        <v/>
      </c>
      <c r="R52" s="212"/>
      <c r="S52" s="228" t="str">
        <f t="shared" si="14"/>
        <v/>
      </c>
      <c r="T52" s="212"/>
      <c r="U52" s="228" t="str">
        <f t="shared" si="15"/>
        <v/>
      </c>
    </row>
    <row r="53" spans="6:21" s="179" customFormat="1" ht="12">
      <c r="F53" s="211"/>
      <c r="G53" s="228" t="str">
        <f t="shared" si="8"/>
        <v/>
      </c>
      <c r="H53" s="212"/>
      <c r="I53" s="228" t="str">
        <f t="shared" si="9"/>
        <v/>
      </c>
      <c r="J53" s="212"/>
      <c r="K53" s="228">
        <f t="shared" si="10"/>
        <v>1</v>
      </c>
      <c r="L53" s="211"/>
      <c r="M53" s="228">
        <f t="shared" si="11"/>
        <v>42</v>
      </c>
      <c r="N53" s="212"/>
      <c r="O53" s="228" t="str">
        <f t="shared" si="12"/>
        <v/>
      </c>
      <c r="P53" s="212"/>
      <c r="Q53" s="228" t="str">
        <f t="shared" si="13"/>
        <v/>
      </c>
      <c r="R53" s="212"/>
      <c r="S53" s="228" t="str">
        <f t="shared" si="14"/>
        <v/>
      </c>
      <c r="T53" s="212"/>
      <c r="U53" s="228" t="str">
        <f t="shared" si="15"/>
        <v/>
      </c>
    </row>
    <row r="54" spans="6:21" s="179" customFormat="1" ht="12">
      <c r="F54" s="211"/>
      <c r="G54" s="228" t="str">
        <f t="shared" si="8"/>
        <v/>
      </c>
      <c r="H54" s="212"/>
      <c r="I54" s="228" t="str">
        <f t="shared" si="9"/>
        <v/>
      </c>
      <c r="J54" s="212"/>
      <c r="K54" s="228">
        <f t="shared" si="10"/>
        <v>1</v>
      </c>
      <c r="L54" s="211"/>
      <c r="M54" s="228">
        <f t="shared" si="11"/>
        <v>42</v>
      </c>
      <c r="N54" s="212"/>
      <c r="O54" s="228" t="str">
        <f t="shared" si="12"/>
        <v/>
      </c>
      <c r="P54" s="212"/>
      <c r="Q54" s="228" t="str">
        <f t="shared" si="13"/>
        <v/>
      </c>
      <c r="R54" s="212"/>
      <c r="S54" s="228" t="str">
        <f t="shared" si="14"/>
        <v/>
      </c>
      <c r="T54" s="212"/>
      <c r="U54" s="228" t="str">
        <f t="shared" si="15"/>
        <v/>
      </c>
    </row>
    <row r="55" spans="6:21" s="179" customFormat="1" ht="12">
      <c r="F55" s="211"/>
      <c r="G55" s="228" t="str">
        <f t="shared" si="8"/>
        <v/>
      </c>
      <c r="H55" s="212"/>
      <c r="I55" s="228" t="str">
        <f t="shared" si="9"/>
        <v/>
      </c>
      <c r="J55" s="212"/>
      <c r="K55" s="228">
        <f t="shared" si="10"/>
        <v>1</v>
      </c>
      <c r="L55" s="211"/>
      <c r="M55" s="228">
        <f t="shared" si="11"/>
        <v>42</v>
      </c>
      <c r="N55" s="212"/>
      <c r="O55" s="228" t="str">
        <f t="shared" si="12"/>
        <v/>
      </c>
      <c r="P55" s="212"/>
      <c r="Q55" s="228" t="str">
        <f t="shared" si="13"/>
        <v/>
      </c>
      <c r="R55" s="212"/>
      <c r="S55" s="228" t="str">
        <f t="shared" si="14"/>
        <v/>
      </c>
      <c r="T55" s="212"/>
      <c r="U55" s="228" t="str">
        <f t="shared" si="15"/>
        <v/>
      </c>
    </row>
    <row r="56" spans="6:21" s="179" customFormat="1" ht="12">
      <c r="F56" s="211"/>
      <c r="G56" s="228" t="str">
        <f t="shared" si="8"/>
        <v/>
      </c>
      <c r="H56" s="212"/>
      <c r="I56" s="228" t="str">
        <f t="shared" si="9"/>
        <v/>
      </c>
      <c r="J56" s="212"/>
      <c r="K56" s="228">
        <f t="shared" si="10"/>
        <v>1</v>
      </c>
      <c r="L56" s="211"/>
      <c r="M56" s="228">
        <f t="shared" si="11"/>
        <v>42</v>
      </c>
      <c r="N56" s="212"/>
      <c r="O56" s="228" t="str">
        <f t="shared" si="12"/>
        <v/>
      </c>
      <c r="P56" s="212"/>
      <c r="Q56" s="228" t="str">
        <f t="shared" si="13"/>
        <v/>
      </c>
      <c r="R56" s="212"/>
      <c r="S56" s="228" t="str">
        <f t="shared" si="14"/>
        <v/>
      </c>
      <c r="T56" s="212"/>
      <c r="U56" s="228" t="str">
        <f t="shared" si="15"/>
        <v/>
      </c>
    </row>
    <row r="57" spans="6:21" s="179" customFormat="1" ht="12">
      <c r="F57" s="211"/>
      <c r="G57" s="228" t="str">
        <f t="shared" si="8"/>
        <v/>
      </c>
      <c r="H57" s="212"/>
      <c r="I57" s="228" t="str">
        <f t="shared" si="9"/>
        <v/>
      </c>
      <c r="J57" s="212"/>
      <c r="K57" s="228">
        <f t="shared" si="10"/>
        <v>1</v>
      </c>
      <c r="L57" s="211"/>
      <c r="M57" s="228">
        <f t="shared" si="11"/>
        <v>42</v>
      </c>
      <c r="N57" s="212"/>
      <c r="O57" s="228" t="str">
        <f t="shared" si="12"/>
        <v/>
      </c>
      <c r="P57" s="212"/>
      <c r="Q57" s="228" t="str">
        <f t="shared" si="13"/>
        <v/>
      </c>
      <c r="R57" s="212"/>
      <c r="S57" s="228" t="str">
        <f t="shared" si="14"/>
        <v/>
      </c>
      <c r="T57" s="212"/>
      <c r="U57" s="228" t="str">
        <f t="shared" si="15"/>
        <v/>
      </c>
    </row>
    <row r="58" spans="6:21" s="179" customFormat="1" ht="12">
      <c r="F58" s="211"/>
      <c r="G58" s="228" t="str">
        <f t="shared" si="8"/>
        <v/>
      </c>
      <c r="H58" s="212"/>
      <c r="I58" s="228" t="str">
        <f t="shared" si="9"/>
        <v/>
      </c>
      <c r="J58" s="212"/>
      <c r="K58" s="228">
        <f t="shared" si="10"/>
        <v>1</v>
      </c>
      <c r="L58" s="211"/>
      <c r="M58" s="228">
        <f t="shared" si="11"/>
        <v>42</v>
      </c>
      <c r="N58" s="212"/>
      <c r="O58" s="228" t="str">
        <f t="shared" si="12"/>
        <v/>
      </c>
      <c r="P58" s="212"/>
      <c r="Q58" s="228" t="str">
        <f t="shared" si="13"/>
        <v/>
      </c>
      <c r="R58" s="212"/>
      <c r="S58" s="228" t="str">
        <f t="shared" si="14"/>
        <v/>
      </c>
      <c r="T58" s="212"/>
      <c r="U58" s="228" t="str">
        <f t="shared" si="15"/>
        <v/>
      </c>
    </row>
    <row r="59" spans="6:21" s="179" customFormat="1" ht="12">
      <c r="F59" s="211"/>
      <c r="G59" s="228" t="str">
        <f t="shared" si="8"/>
        <v/>
      </c>
      <c r="H59" s="212"/>
      <c r="I59" s="228" t="str">
        <f t="shared" si="9"/>
        <v/>
      </c>
      <c r="J59" s="212"/>
      <c r="K59" s="228">
        <f t="shared" si="10"/>
        <v>1</v>
      </c>
      <c r="L59" s="211"/>
      <c r="M59" s="228">
        <f t="shared" si="11"/>
        <v>42</v>
      </c>
      <c r="N59" s="212"/>
      <c r="O59" s="228" t="str">
        <f t="shared" si="12"/>
        <v/>
      </c>
      <c r="P59" s="212"/>
      <c r="Q59" s="228" t="str">
        <f t="shared" si="13"/>
        <v/>
      </c>
      <c r="R59" s="212"/>
      <c r="S59" s="228" t="str">
        <f t="shared" si="14"/>
        <v/>
      </c>
      <c r="T59" s="212"/>
      <c r="U59" s="228" t="str">
        <f t="shared" si="15"/>
        <v/>
      </c>
    </row>
    <row r="60" spans="6:21" s="179" customFormat="1" ht="12">
      <c r="F60" s="211"/>
      <c r="G60" s="228" t="str">
        <f t="shared" si="8"/>
        <v/>
      </c>
      <c r="H60" s="212"/>
      <c r="I60" s="228" t="str">
        <f t="shared" si="9"/>
        <v/>
      </c>
      <c r="J60" s="212"/>
      <c r="K60" s="228">
        <f t="shared" si="10"/>
        <v>1</v>
      </c>
      <c r="L60" s="211"/>
      <c r="M60" s="228">
        <f t="shared" si="11"/>
        <v>42</v>
      </c>
      <c r="N60" s="212"/>
      <c r="O60" s="228" t="str">
        <f t="shared" si="12"/>
        <v/>
      </c>
      <c r="P60" s="212"/>
      <c r="Q60" s="228" t="str">
        <f t="shared" si="13"/>
        <v/>
      </c>
      <c r="R60" s="212"/>
      <c r="S60" s="228" t="str">
        <f t="shared" si="14"/>
        <v/>
      </c>
      <c r="T60" s="212"/>
      <c r="U60" s="228" t="str">
        <f t="shared" si="15"/>
        <v/>
      </c>
    </row>
    <row r="61" spans="6:21" s="179" customFormat="1" ht="12">
      <c r="F61" s="211"/>
      <c r="G61" s="228" t="str">
        <f t="shared" si="8"/>
        <v/>
      </c>
      <c r="H61" s="212"/>
      <c r="I61" s="228" t="str">
        <f t="shared" si="9"/>
        <v/>
      </c>
      <c r="J61" s="212"/>
      <c r="K61" s="228">
        <f t="shared" si="10"/>
        <v>1</v>
      </c>
      <c r="L61" s="211"/>
      <c r="M61" s="228">
        <f t="shared" si="11"/>
        <v>42</v>
      </c>
      <c r="N61" s="212"/>
      <c r="O61" s="228" t="str">
        <f t="shared" si="12"/>
        <v/>
      </c>
      <c r="P61" s="212"/>
      <c r="Q61" s="228" t="str">
        <f t="shared" si="13"/>
        <v/>
      </c>
      <c r="R61" s="212"/>
      <c r="S61" s="228" t="str">
        <f t="shared" si="14"/>
        <v/>
      </c>
      <c r="T61" s="212"/>
      <c r="U61" s="228" t="str">
        <f t="shared" si="15"/>
        <v/>
      </c>
    </row>
    <row r="62" spans="6:21" s="179" customFormat="1" ht="12">
      <c r="F62" s="211"/>
      <c r="G62" s="228" t="str">
        <f t="shared" si="8"/>
        <v/>
      </c>
      <c r="H62" s="212"/>
      <c r="I62" s="228" t="str">
        <f t="shared" si="9"/>
        <v/>
      </c>
      <c r="J62" s="212"/>
      <c r="K62" s="228">
        <f t="shared" si="10"/>
        <v>1</v>
      </c>
      <c r="L62" s="211"/>
      <c r="M62" s="228">
        <f t="shared" si="11"/>
        <v>42</v>
      </c>
      <c r="N62" s="212"/>
      <c r="O62" s="228" t="str">
        <f t="shared" si="12"/>
        <v/>
      </c>
      <c r="P62" s="212"/>
      <c r="Q62" s="228" t="str">
        <f t="shared" si="13"/>
        <v/>
      </c>
      <c r="R62" s="212"/>
      <c r="S62" s="228" t="str">
        <f t="shared" si="14"/>
        <v/>
      </c>
      <c r="T62" s="212"/>
      <c r="U62" s="228" t="str">
        <f t="shared" si="15"/>
        <v/>
      </c>
    </row>
    <row r="63" spans="6:21" s="179" customFormat="1" ht="12">
      <c r="F63" s="211"/>
      <c r="G63" s="228" t="str">
        <f t="shared" si="8"/>
        <v/>
      </c>
      <c r="H63" s="212"/>
      <c r="I63" s="228" t="str">
        <f t="shared" si="9"/>
        <v/>
      </c>
      <c r="J63" s="212"/>
      <c r="K63" s="228">
        <f t="shared" si="10"/>
        <v>1</v>
      </c>
      <c r="L63" s="211"/>
      <c r="M63" s="228">
        <f t="shared" si="11"/>
        <v>42</v>
      </c>
      <c r="N63" s="212"/>
      <c r="O63" s="228" t="str">
        <f t="shared" si="12"/>
        <v/>
      </c>
      <c r="P63" s="212"/>
      <c r="Q63" s="228" t="str">
        <f t="shared" si="13"/>
        <v/>
      </c>
      <c r="R63" s="212"/>
      <c r="S63" s="228" t="str">
        <f t="shared" si="14"/>
        <v/>
      </c>
      <c r="T63" s="212"/>
      <c r="U63" s="228" t="str">
        <f t="shared" si="15"/>
        <v/>
      </c>
    </row>
    <row r="64" spans="6:21" s="179" customFormat="1" ht="12">
      <c r="F64" s="211"/>
      <c r="G64" s="228" t="str">
        <f t="shared" si="8"/>
        <v/>
      </c>
      <c r="H64" s="212"/>
      <c r="I64" s="228" t="str">
        <f t="shared" si="9"/>
        <v/>
      </c>
      <c r="J64" s="212"/>
      <c r="K64" s="228">
        <f t="shared" si="10"/>
        <v>1</v>
      </c>
      <c r="L64" s="211"/>
      <c r="M64" s="228">
        <f t="shared" si="11"/>
        <v>42</v>
      </c>
      <c r="N64" s="212"/>
      <c r="O64" s="228" t="str">
        <f t="shared" si="12"/>
        <v/>
      </c>
      <c r="P64" s="212"/>
      <c r="Q64" s="228" t="str">
        <f t="shared" si="13"/>
        <v/>
      </c>
      <c r="R64" s="212"/>
      <c r="S64" s="228" t="str">
        <f t="shared" si="14"/>
        <v/>
      </c>
      <c r="T64" s="212"/>
      <c r="U64" s="228" t="str">
        <f t="shared" si="15"/>
        <v/>
      </c>
    </row>
    <row r="65" spans="6:21" s="179" customFormat="1" ht="12">
      <c r="F65" s="211"/>
      <c r="G65" s="228" t="str">
        <f t="shared" si="8"/>
        <v/>
      </c>
      <c r="H65" s="212"/>
      <c r="I65" s="228" t="str">
        <f t="shared" si="9"/>
        <v/>
      </c>
      <c r="J65" s="212"/>
      <c r="K65" s="228">
        <f t="shared" si="10"/>
        <v>1</v>
      </c>
      <c r="L65" s="211"/>
      <c r="M65" s="228">
        <f t="shared" si="11"/>
        <v>42</v>
      </c>
      <c r="N65" s="212"/>
      <c r="O65" s="228" t="str">
        <f t="shared" si="12"/>
        <v/>
      </c>
      <c r="P65" s="212"/>
      <c r="Q65" s="228" t="str">
        <f t="shared" si="13"/>
        <v/>
      </c>
      <c r="R65" s="212"/>
      <c r="S65" s="228" t="str">
        <f t="shared" si="14"/>
        <v/>
      </c>
      <c r="T65" s="212"/>
      <c r="U65" s="228" t="str">
        <f t="shared" si="15"/>
        <v/>
      </c>
    </row>
    <row r="66" spans="6:21" s="179" customFormat="1" ht="12">
      <c r="F66" s="211"/>
      <c r="G66" s="228" t="str">
        <f t="shared" si="8"/>
        <v/>
      </c>
      <c r="H66" s="212"/>
      <c r="I66" s="228" t="str">
        <f t="shared" si="9"/>
        <v/>
      </c>
      <c r="J66" s="212"/>
      <c r="K66" s="228">
        <f t="shared" si="10"/>
        <v>1</v>
      </c>
      <c r="L66" s="211"/>
      <c r="M66" s="228">
        <f t="shared" si="11"/>
        <v>42</v>
      </c>
      <c r="N66" s="212"/>
      <c r="O66" s="228" t="str">
        <f t="shared" si="12"/>
        <v/>
      </c>
      <c r="P66" s="212"/>
      <c r="Q66" s="228" t="str">
        <f t="shared" si="13"/>
        <v/>
      </c>
      <c r="R66" s="212"/>
      <c r="S66" s="228" t="str">
        <f t="shared" si="14"/>
        <v/>
      </c>
      <c r="T66" s="212"/>
      <c r="U66" s="228" t="str">
        <f t="shared" si="15"/>
        <v/>
      </c>
    </row>
    <row r="67" spans="6:21" s="179" customFormat="1" ht="12">
      <c r="F67" s="211"/>
      <c r="G67" s="228" t="str">
        <f t="shared" si="8"/>
        <v/>
      </c>
      <c r="H67" s="212"/>
      <c r="I67" s="228" t="str">
        <f t="shared" si="9"/>
        <v/>
      </c>
      <c r="J67" s="212"/>
      <c r="K67" s="228">
        <f t="shared" si="10"/>
        <v>1</v>
      </c>
      <c r="L67" s="211"/>
      <c r="M67" s="228">
        <f t="shared" si="11"/>
        <v>42</v>
      </c>
      <c r="N67" s="212"/>
      <c r="O67" s="228" t="str">
        <f t="shared" si="12"/>
        <v/>
      </c>
      <c r="P67" s="212"/>
      <c r="Q67" s="228" t="str">
        <f t="shared" si="13"/>
        <v/>
      </c>
      <c r="R67" s="212"/>
      <c r="S67" s="228" t="str">
        <f t="shared" si="14"/>
        <v/>
      </c>
      <c r="T67" s="212"/>
      <c r="U67" s="228" t="str">
        <f t="shared" si="15"/>
        <v/>
      </c>
    </row>
    <row r="68" spans="6:21" s="179" customFormat="1" ht="12">
      <c r="F68" s="211"/>
      <c r="G68" s="228" t="str">
        <f t="shared" si="8"/>
        <v/>
      </c>
      <c r="H68" s="212"/>
      <c r="I68" s="228" t="str">
        <f t="shared" si="9"/>
        <v/>
      </c>
      <c r="J68" s="212"/>
      <c r="K68" s="228">
        <f t="shared" si="10"/>
        <v>1</v>
      </c>
      <c r="L68" s="211"/>
      <c r="M68" s="228">
        <f t="shared" si="11"/>
        <v>42</v>
      </c>
      <c r="N68" s="212"/>
      <c r="O68" s="228" t="str">
        <f t="shared" si="12"/>
        <v/>
      </c>
      <c r="P68" s="212"/>
      <c r="Q68" s="228" t="str">
        <f t="shared" si="13"/>
        <v/>
      </c>
      <c r="R68" s="212"/>
      <c r="S68" s="228" t="str">
        <f t="shared" si="14"/>
        <v/>
      </c>
      <c r="T68" s="212"/>
      <c r="U68" s="228" t="str">
        <f t="shared" si="15"/>
        <v/>
      </c>
    </row>
    <row r="69" spans="6:21" s="179" customFormat="1" ht="12">
      <c r="F69" s="211"/>
      <c r="G69" s="228" t="str">
        <f t="shared" si="8"/>
        <v/>
      </c>
      <c r="H69" s="212"/>
      <c r="I69" s="228" t="str">
        <f t="shared" si="9"/>
        <v/>
      </c>
      <c r="J69" s="212"/>
      <c r="K69" s="228">
        <f t="shared" si="10"/>
        <v>1</v>
      </c>
      <c r="L69" s="211"/>
      <c r="M69" s="228">
        <f t="shared" si="11"/>
        <v>42</v>
      </c>
      <c r="N69" s="212"/>
      <c r="O69" s="228" t="str">
        <f t="shared" si="12"/>
        <v/>
      </c>
      <c r="P69" s="212"/>
      <c r="Q69" s="228" t="str">
        <f t="shared" si="13"/>
        <v/>
      </c>
      <c r="R69" s="212"/>
      <c r="S69" s="228" t="str">
        <f t="shared" si="14"/>
        <v/>
      </c>
      <c r="T69" s="212"/>
      <c r="U69" s="228" t="str">
        <f t="shared" si="15"/>
        <v/>
      </c>
    </row>
    <row r="70" spans="6:21" s="179" customFormat="1" ht="12">
      <c r="F70" s="211"/>
      <c r="G70" s="228" t="str">
        <f t="shared" si="8"/>
        <v/>
      </c>
      <c r="H70" s="212"/>
      <c r="I70" s="228" t="str">
        <f t="shared" si="9"/>
        <v/>
      </c>
      <c r="J70" s="212"/>
      <c r="K70" s="228">
        <f t="shared" si="10"/>
        <v>1</v>
      </c>
      <c r="L70" s="211"/>
      <c r="M70" s="228">
        <f t="shared" si="11"/>
        <v>42</v>
      </c>
      <c r="N70" s="212"/>
      <c r="O70" s="228" t="str">
        <f t="shared" si="12"/>
        <v/>
      </c>
      <c r="P70" s="212"/>
      <c r="Q70" s="228" t="str">
        <f t="shared" si="13"/>
        <v/>
      </c>
      <c r="R70" s="212"/>
      <c r="S70" s="228" t="str">
        <f t="shared" si="14"/>
        <v/>
      </c>
      <c r="T70" s="212"/>
      <c r="U70" s="228" t="str">
        <f t="shared" si="15"/>
        <v/>
      </c>
    </row>
    <row r="71" spans="6:21" s="179" customFormat="1" ht="12">
      <c r="F71" s="211"/>
      <c r="G71" s="228" t="str">
        <f t="shared" ref="G71:G102" si="16">IFERROR(RANK(F71,F$7:F$102),"")</f>
        <v/>
      </c>
      <c r="H71" s="212"/>
      <c r="I71" s="228" t="str">
        <f t="shared" ref="I71:I102" si="17">IFERROR(RANK(H71,H$7:H$102),"")</f>
        <v/>
      </c>
      <c r="J71" s="212"/>
      <c r="K71" s="228">
        <f t="shared" ref="K71:K102" si="18">IFERROR(RANK(J71,J$7:J$102),"")</f>
        <v>1</v>
      </c>
      <c r="L71" s="211"/>
      <c r="M71" s="228">
        <f t="shared" ref="M71:M102" si="19">IFERROR(RANK(L71,L$7:L$102),"")</f>
        <v>42</v>
      </c>
      <c r="N71" s="212"/>
      <c r="O71" s="228" t="str">
        <f t="shared" ref="O71:O102" si="20">IFERROR(IF(F71&gt;0,RANK(N71,N$7:N$102,1),""),"")</f>
        <v/>
      </c>
      <c r="P71" s="212"/>
      <c r="Q71" s="228" t="str">
        <f t="shared" ref="Q71:Q102" si="21">IFERROR(RANK(P71,P$7:P$102),"")</f>
        <v/>
      </c>
      <c r="R71" s="212"/>
      <c r="S71" s="228" t="str">
        <f t="shared" ref="S71:S102" si="22">IFERROR(IF(F71&gt;0,RANK(R71,R$7:R$102,0),""),"")</f>
        <v/>
      </c>
      <c r="T71" s="212"/>
      <c r="U71" s="228" t="str">
        <f t="shared" ref="U71:U102" si="23">IFERROR(IF(F71&gt;0,RANK(T71,T$7:T$102,0),""),"")</f>
        <v/>
      </c>
    </row>
    <row r="72" spans="6:21" s="179" customFormat="1" ht="12">
      <c r="F72" s="211"/>
      <c r="G72" s="228" t="str">
        <f t="shared" si="16"/>
        <v/>
      </c>
      <c r="H72" s="212"/>
      <c r="I72" s="228" t="str">
        <f t="shared" si="17"/>
        <v/>
      </c>
      <c r="J72" s="212"/>
      <c r="K72" s="228">
        <f t="shared" si="18"/>
        <v>1</v>
      </c>
      <c r="L72" s="211"/>
      <c r="M72" s="228">
        <f t="shared" si="19"/>
        <v>42</v>
      </c>
      <c r="N72" s="212"/>
      <c r="O72" s="228" t="str">
        <f t="shared" si="20"/>
        <v/>
      </c>
      <c r="P72" s="212"/>
      <c r="Q72" s="228" t="str">
        <f t="shared" si="21"/>
        <v/>
      </c>
      <c r="R72" s="212"/>
      <c r="S72" s="228" t="str">
        <f t="shared" si="22"/>
        <v/>
      </c>
      <c r="T72" s="212"/>
      <c r="U72" s="228" t="str">
        <f t="shared" si="23"/>
        <v/>
      </c>
    </row>
    <row r="73" spans="6:21" s="179" customFormat="1" ht="12">
      <c r="F73" s="211"/>
      <c r="G73" s="228" t="str">
        <f t="shared" si="16"/>
        <v/>
      </c>
      <c r="H73" s="212"/>
      <c r="I73" s="228" t="str">
        <f t="shared" si="17"/>
        <v/>
      </c>
      <c r="J73" s="212"/>
      <c r="K73" s="228">
        <f t="shared" si="18"/>
        <v>1</v>
      </c>
      <c r="L73" s="211"/>
      <c r="M73" s="228">
        <f t="shared" si="19"/>
        <v>42</v>
      </c>
      <c r="N73" s="212"/>
      <c r="O73" s="228" t="str">
        <f t="shared" si="20"/>
        <v/>
      </c>
      <c r="P73" s="212"/>
      <c r="Q73" s="228" t="str">
        <f t="shared" si="21"/>
        <v/>
      </c>
      <c r="R73" s="212"/>
      <c r="S73" s="228" t="str">
        <f t="shared" si="22"/>
        <v/>
      </c>
      <c r="T73" s="212"/>
      <c r="U73" s="228" t="str">
        <f t="shared" si="23"/>
        <v/>
      </c>
    </row>
    <row r="74" spans="6:21" s="179" customFormat="1" ht="12">
      <c r="F74" s="211"/>
      <c r="G74" s="228" t="str">
        <f t="shared" si="16"/>
        <v/>
      </c>
      <c r="H74" s="212"/>
      <c r="I74" s="228" t="str">
        <f t="shared" si="17"/>
        <v/>
      </c>
      <c r="J74" s="212"/>
      <c r="K74" s="228">
        <f t="shared" si="18"/>
        <v>1</v>
      </c>
      <c r="L74" s="211"/>
      <c r="M74" s="228">
        <f t="shared" si="19"/>
        <v>42</v>
      </c>
      <c r="N74" s="212"/>
      <c r="O74" s="228" t="str">
        <f t="shared" si="20"/>
        <v/>
      </c>
      <c r="P74" s="212"/>
      <c r="Q74" s="228" t="str">
        <f t="shared" si="21"/>
        <v/>
      </c>
      <c r="R74" s="212"/>
      <c r="S74" s="228" t="str">
        <f t="shared" si="22"/>
        <v/>
      </c>
      <c r="T74" s="212"/>
      <c r="U74" s="228" t="str">
        <f t="shared" si="23"/>
        <v/>
      </c>
    </row>
    <row r="75" spans="6:21" s="179" customFormat="1" ht="12">
      <c r="F75" s="211"/>
      <c r="G75" s="228" t="str">
        <f t="shared" si="16"/>
        <v/>
      </c>
      <c r="H75" s="212"/>
      <c r="I75" s="228" t="str">
        <f t="shared" si="17"/>
        <v/>
      </c>
      <c r="J75" s="212"/>
      <c r="K75" s="228">
        <f t="shared" si="18"/>
        <v>1</v>
      </c>
      <c r="L75" s="211"/>
      <c r="M75" s="228">
        <f t="shared" si="19"/>
        <v>42</v>
      </c>
      <c r="N75" s="212"/>
      <c r="O75" s="228" t="str">
        <f t="shared" si="20"/>
        <v/>
      </c>
      <c r="P75" s="212"/>
      <c r="Q75" s="228" t="str">
        <f t="shared" si="21"/>
        <v/>
      </c>
      <c r="R75" s="212"/>
      <c r="S75" s="228" t="str">
        <f t="shared" si="22"/>
        <v/>
      </c>
      <c r="T75" s="212"/>
      <c r="U75" s="228" t="str">
        <f t="shared" si="23"/>
        <v/>
      </c>
    </row>
    <row r="76" spans="6:21" s="179" customFormat="1" ht="12">
      <c r="F76" s="211"/>
      <c r="G76" s="228" t="str">
        <f t="shared" si="16"/>
        <v/>
      </c>
      <c r="H76" s="212"/>
      <c r="I76" s="228" t="str">
        <f t="shared" si="17"/>
        <v/>
      </c>
      <c r="J76" s="212"/>
      <c r="K76" s="228">
        <f t="shared" si="18"/>
        <v>1</v>
      </c>
      <c r="L76" s="211"/>
      <c r="M76" s="228">
        <f t="shared" si="19"/>
        <v>42</v>
      </c>
      <c r="N76" s="212"/>
      <c r="O76" s="228" t="str">
        <f t="shared" si="20"/>
        <v/>
      </c>
      <c r="P76" s="212"/>
      <c r="Q76" s="228" t="str">
        <f t="shared" si="21"/>
        <v/>
      </c>
      <c r="R76" s="212"/>
      <c r="S76" s="228" t="str">
        <f t="shared" si="22"/>
        <v/>
      </c>
      <c r="T76" s="212"/>
      <c r="U76" s="228" t="str">
        <f t="shared" si="23"/>
        <v/>
      </c>
    </row>
    <row r="77" spans="6:21" s="179" customFormat="1" ht="12">
      <c r="F77" s="211"/>
      <c r="G77" s="228" t="str">
        <f t="shared" si="16"/>
        <v/>
      </c>
      <c r="H77" s="212"/>
      <c r="I77" s="228" t="str">
        <f t="shared" si="17"/>
        <v/>
      </c>
      <c r="J77" s="212"/>
      <c r="K77" s="228">
        <f t="shared" si="18"/>
        <v>1</v>
      </c>
      <c r="L77" s="211"/>
      <c r="M77" s="228">
        <f t="shared" si="19"/>
        <v>42</v>
      </c>
      <c r="N77" s="212"/>
      <c r="O77" s="228" t="str">
        <f t="shared" si="20"/>
        <v/>
      </c>
      <c r="P77" s="212"/>
      <c r="Q77" s="228" t="str">
        <f t="shared" si="21"/>
        <v/>
      </c>
      <c r="R77" s="212"/>
      <c r="S77" s="228" t="str">
        <f t="shared" si="22"/>
        <v/>
      </c>
      <c r="T77" s="212"/>
      <c r="U77" s="228" t="str">
        <f t="shared" si="23"/>
        <v/>
      </c>
    </row>
    <row r="78" spans="6:21" s="179" customFormat="1" ht="12">
      <c r="F78" s="211"/>
      <c r="G78" s="228" t="str">
        <f t="shared" si="16"/>
        <v/>
      </c>
      <c r="H78" s="212"/>
      <c r="I78" s="228" t="str">
        <f t="shared" si="17"/>
        <v/>
      </c>
      <c r="J78" s="212"/>
      <c r="K78" s="228">
        <f t="shared" si="18"/>
        <v>1</v>
      </c>
      <c r="L78" s="211"/>
      <c r="M78" s="228">
        <f t="shared" si="19"/>
        <v>42</v>
      </c>
      <c r="N78" s="212"/>
      <c r="O78" s="228" t="str">
        <f t="shared" si="20"/>
        <v/>
      </c>
      <c r="P78" s="212"/>
      <c r="Q78" s="228" t="str">
        <f t="shared" si="21"/>
        <v/>
      </c>
      <c r="R78" s="212"/>
      <c r="S78" s="228" t="str">
        <f t="shared" si="22"/>
        <v/>
      </c>
      <c r="T78" s="212"/>
      <c r="U78" s="228" t="str">
        <f t="shared" si="23"/>
        <v/>
      </c>
    </row>
    <row r="79" spans="6:21" s="179" customFormat="1" ht="12">
      <c r="F79" s="211"/>
      <c r="G79" s="228" t="str">
        <f t="shared" si="16"/>
        <v/>
      </c>
      <c r="H79" s="212"/>
      <c r="I79" s="228" t="str">
        <f t="shared" si="17"/>
        <v/>
      </c>
      <c r="J79" s="212"/>
      <c r="K79" s="228">
        <f t="shared" si="18"/>
        <v>1</v>
      </c>
      <c r="L79" s="211"/>
      <c r="M79" s="228">
        <f t="shared" si="19"/>
        <v>42</v>
      </c>
      <c r="N79" s="212"/>
      <c r="O79" s="228" t="str">
        <f t="shared" si="20"/>
        <v/>
      </c>
      <c r="P79" s="212"/>
      <c r="Q79" s="228" t="str">
        <f t="shared" si="21"/>
        <v/>
      </c>
      <c r="R79" s="212"/>
      <c r="S79" s="228" t="str">
        <f t="shared" si="22"/>
        <v/>
      </c>
      <c r="T79" s="212"/>
      <c r="U79" s="228" t="str">
        <f t="shared" si="23"/>
        <v/>
      </c>
    </row>
    <row r="80" spans="6:21" s="179" customFormat="1" ht="12">
      <c r="F80" s="211"/>
      <c r="G80" s="228" t="str">
        <f t="shared" si="16"/>
        <v/>
      </c>
      <c r="H80" s="212"/>
      <c r="I80" s="228" t="str">
        <f t="shared" si="17"/>
        <v/>
      </c>
      <c r="J80" s="212"/>
      <c r="K80" s="228">
        <f t="shared" si="18"/>
        <v>1</v>
      </c>
      <c r="L80" s="211"/>
      <c r="M80" s="228">
        <f t="shared" si="19"/>
        <v>42</v>
      </c>
      <c r="N80" s="212"/>
      <c r="O80" s="228" t="str">
        <f t="shared" si="20"/>
        <v/>
      </c>
      <c r="P80" s="212"/>
      <c r="Q80" s="228" t="str">
        <f t="shared" si="21"/>
        <v/>
      </c>
      <c r="R80" s="212"/>
      <c r="S80" s="228" t="str">
        <f t="shared" si="22"/>
        <v/>
      </c>
      <c r="T80" s="212"/>
      <c r="U80" s="228" t="str">
        <f t="shared" si="23"/>
        <v/>
      </c>
    </row>
    <row r="81" spans="6:21" s="179" customFormat="1" ht="12">
      <c r="F81" s="211"/>
      <c r="G81" s="228" t="str">
        <f t="shared" si="16"/>
        <v/>
      </c>
      <c r="H81" s="212"/>
      <c r="I81" s="228" t="str">
        <f t="shared" si="17"/>
        <v/>
      </c>
      <c r="J81" s="212"/>
      <c r="K81" s="228">
        <f t="shared" si="18"/>
        <v>1</v>
      </c>
      <c r="L81" s="211"/>
      <c r="M81" s="228">
        <f t="shared" si="19"/>
        <v>42</v>
      </c>
      <c r="N81" s="212"/>
      <c r="O81" s="228" t="str">
        <f t="shared" si="20"/>
        <v/>
      </c>
      <c r="P81" s="212"/>
      <c r="Q81" s="228" t="str">
        <f t="shared" si="21"/>
        <v/>
      </c>
      <c r="R81" s="212"/>
      <c r="S81" s="228" t="str">
        <f t="shared" si="22"/>
        <v/>
      </c>
      <c r="T81" s="212"/>
      <c r="U81" s="228" t="str">
        <f t="shared" si="23"/>
        <v/>
      </c>
    </row>
    <row r="82" spans="6:21" s="179" customFormat="1" ht="12">
      <c r="F82" s="211"/>
      <c r="G82" s="228" t="str">
        <f t="shared" si="16"/>
        <v/>
      </c>
      <c r="H82" s="212"/>
      <c r="I82" s="228" t="str">
        <f t="shared" si="17"/>
        <v/>
      </c>
      <c r="J82" s="212"/>
      <c r="K82" s="228">
        <f t="shared" si="18"/>
        <v>1</v>
      </c>
      <c r="L82" s="211"/>
      <c r="M82" s="228">
        <f t="shared" si="19"/>
        <v>42</v>
      </c>
      <c r="N82" s="212"/>
      <c r="O82" s="228" t="str">
        <f t="shared" si="20"/>
        <v/>
      </c>
      <c r="P82" s="212"/>
      <c r="Q82" s="228" t="str">
        <f t="shared" si="21"/>
        <v/>
      </c>
      <c r="R82" s="212"/>
      <c r="S82" s="228" t="str">
        <f t="shared" si="22"/>
        <v/>
      </c>
      <c r="T82" s="212"/>
      <c r="U82" s="228" t="str">
        <f t="shared" si="23"/>
        <v/>
      </c>
    </row>
    <row r="83" spans="6:21" s="179" customFormat="1" ht="12">
      <c r="F83" s="211"/>
      <c r="G83" s="228" t="str">
        <f t="shared" si="16"/>
        <v/>
      </c>
      <c r="H83" s="212"/>
      <c r="I83" s="228" t="str">
        <f t="shared" si="17"/>
        <v/>
      </c>
      <c r="J83" s="212"/>
      <c r="K83" s="228">
        <f t="shared" si="18"/>
        <v>1</v>
      </c>
      <c r="L83" s="211"/>
      <c r="M83" s="228">
        <f t="shared" si="19"/>
        <v>42</v>
      </c>
      <c r="N83" s="212"/>
      <c r="O83" s="228" t="str">
        <f t="shared" si="20"/>
        <v/>
      </c>
      <c r="P83" s="212"/>
      <c r="Q83" s="228" t="str">
        <f t="shared" si="21"/>
        <v/>
      </c>
      <c r="R83" s="212"/>
      <c r="S83" s="228" t="str">
        <f t="shared" si="22"/>
        <v/>
      </c>
      <c r="T83" s="212"/>
      <c r="U83" s="228" t="str">
        <f t="shared" si="23"/>
        <v/>
      </c>
    </row>
    <row r="84" spans="6:21" s="179" customFormat="1" ht="12">
      <c r="F84" s="211"/>
      <c r="G84" s="228" t="str">
        <f t="shared" si="16"/>
        <v/>
      </c>
      <c r="H84" s="212"/>
      <c r="I84" s="228" t="str">
        <f t="shared" si="17"/>
        <v/>
      </c>
      <c r="J84" s="212"/>
      <c r="K84" s="228">
        <f t="shared" si="18"/>
        <v>1</v>
      </c>
      <c r="L84" s="211"/>
      <c r="M84" s="228">
        <f t="shared" si="19"/>
        <v>42</v>
      </c>
      <c r="N84" s="212"/>
      <c r="O84" s="228" t="str">
        <f t="shared" si="20"/>
        <v/>
      </c>
      <c r="P84" s="212"/>
      <c r="Q84" s="228" t="str">
        <f t="shared" si="21"/>
        <v/>
      </c>
      <c r="R84" s="212"/>
      <c r="S84" s="228" t="str">
        <f t="shared" si="22"/>
        <v/>
      </c>
      <c r="T84" s="212"/>
      <c r="U84" s="228" t="str">
        <f t="shared" si="23"/>
        <v/>
      </c>
    </row>
    <row r="85" spans="6:21" s="179" customFormat="1" ht="12">
      <c r="F85" s="211"/>
      <c r="G85" s="228" t="str">
        <f t="shared" si="16"/>
        <v/>
      </c>
      <c r="H85" s="212"/>
      <c r="I85" s="228" t="str">
        <f t="shared" si="17"/>
        <v/>
      </c>
      <c r="J85" s="212"/>
      <c r="K85" s="228">
        <f t="shared" si="18"/>
        <v>1</v>
      </c>
      <c r="L85" s="211"/>
      <c r="M85" s="228">
        <f t="shared" si="19"/>
        <v>42</v>
      </c>
      <c r="N85" s="212"/>
      <c r="O85" s="228" t="str">
        <f t="shared" si="20"/>
        <v/>
      </c>
      <c r="P85" s="212"/>
      <c r="Q85" s="228" t="str">
        <f t="shared" si="21"/>
        <v/>
      </c>
      <c r="R85" s="212"/>
      <c r="S85" s="228" t="str">
        <f t="shared" si="22"/>
        <v/>
      </c>
      <c r="T85" s="212"/>
      <c r="U85" s="228" t="str">
        <f t="shared" si="23"/>
        <v/>
      </c>
    </row>
    <row r="86" spans="6:21" s="179" customFormat="1" ht="12">
      <c r="F86" s="211"/>
      <c r="G86" s="228" t="str">
        <f t="shared" si="16"/>
        <v/>
      </c>
      <c r="H86" s="212"/>
      <c r="I86" s="228" t="str">
        <f t="shared" si="17"/>
        <v/>
      </c>
      <c r="J86" s="212"/>
      <c r="K86" s="228">
        <f t="shared" si="18"/>
        <v>1</v>
      </c>
      <c r="L86" s="211"/>
      <c r="M86" s="228">
        <f t="shared" si="19"/>
        <v>42</v>
      </c>
      <c r="N86" s="212"/>
      <c r="O86" s="228" t="str">
        <f t="shared" si="20"/>
        <v/>
      </c>
      <c r="P86" s="212"/>
      <c r="Q86" s="228" t="str">
        <f t="shared" si="21"/>
        <v/>
      </c>
      <c r="R86" s="212"/>
      <c r="S86" s="228" t="str">
        <f t="shared" si="22"/>
        <v/>
      </c>
      <c r="T86" s="212"/>
      <c r="U86" s="228" t="str">
        <f t="shared" si="23"/>
        <v/>
      </c>
    </row>
    <row r="87" spans="6:21" s="179" customFormat="1" ht="12">
      <c r="F87" s="211"/>
      <c r="G87" s="228" t="str">
        <f t="shared" si="16"/>
        <v/>
      </c>
      <c r="H87" s="212"/>
      <c r="I87" s="228" t="str">
        <f t="shared" si="17"/>
        <v/>
      </c>
      <c r="J87" s="212"/>
      <c r="K87" s="228">
        <f t="shared" si="18"/>
        <v>1</v>
      </c>
      <c r="L87" s="211"/>
      <c r="M87" s="228">
        <f t="shared" si="19"/>
        <v>42</v>
      </c>
      <c r="N87" s="212"/>
      <c r="O87" s="228" t="str">
        <f t="shared" si="20"/>
        <v/>
      </c>
      <c r="P87" s="212"/>
      <c r="Q87" s="228" t="str">
        <f t="shared" si="21"/>
        <v/>
      </c>
      <c r="R87" s="212"/>
      <c r="S87" s="228" t="str">
        <f t="shared" si="22"/>
        <v/>
      </c>
      <c r="T87" s="212"/>
      <c r="U87" s="228" t="str">
        <f t="shared" si="23"/>
        <v/>
      </c>
    </row>
    <row r="88" spans="6:21" s="179" customFormat="1" ht="12">
      <c r="F88" s="211"/>
      <c r="G88" s="228" t="str">
        <f t="shared" si="16"/>
        <v/>
      </c>
      <c r="H88" s="212"/>
      <c r="I88" s="228" t="str">
        <f t="shared" si="17"/>
        <v/>
      </c>
      <c r="J88" s="212"/>
      <c r="K88" s="228">
        <f t="shared" si="18"/>
        <v>1</v>
      </c>
      <c r="L88" s="211"/>
      <c r="M88" s="228">
        <f t="shared" si="19"/>
        <v>42</v>
      </c>
      <c r="N88" s="212"/>
      <c r="O88" s="228" t="str">
        <f t="shared" si="20"/>
        <v/>
      </c>
      <c r="P88" s="212"/>
      <c r="Q88" s="228" t="str">
        <f t="shared" si="21"/>
        <v/>
      </c>
      <c r="R88" s="212"/>
      <c r="S88" s="228" t="str">
        <f t="shared" si="22"/>
        <v/>
      </c>
      <c r="T88" s="212"/>
      <c r="U88" s="228" t="str">
        <f t="shared" si="23"/>
        <v/>
      </c>
    </row>
    <row r="89" spans="6:21" s="179" customFormat="1" ht="12">
      <c r="F89" s="211"/>
      <c r="G89" s="228" t="str">
        <f t="shared" si="16"/>
        <v/>
      </c>
      <c r="H89" s="212"/>
      <c r="I89" s="228" t="str">
        <f t="shared" si="17"/>
        <v/>
      </c>
      <c r="J89" s="212"/>
      <c r="K89" s="228">
        <f t="shared" si="18"/>
        <v>1</v>
      </c>
      <c r="L89" s="211"/>
      <c r="M89" s="228">
        <f t="shared" si="19"/>
        <v>42</v>
      </c>
      <c r="N89" s="212"/>
      <c r="O89" s="228" t="str">
        <f t="shared" si="20"/>
        <v/>
      </c>
      <c r="P89" s="212"/>
      <c r="Q89" s="228" t="str">
        <f t="shared" si="21"/>
        <v/>
      </c>
      <c r="R89" s="212"/>
      <c r="S89" s="228" t="str">
        <f t="shared" si="22"/>
        <v/>
      </c>
      <c r="T89" s="212"/>
      <c r="U89" s="228" t="str">
        <f t="shared" si="23"/>
        <v/>
      </c>
    </row>
    <row r="90" spans="6:21" s="179" customFormat="1" ht="12">
      <c r="F90" s="211"/>
      <c r="G90" s="228" t="str">
        <f t="shared" si="16"/>
        <v/>
      </c>
      <c r="H90" s="212"/>
      <c r="I90" s="228" t="str">
        <f t="shared" si="17"/>
        <v/>
      </c>
      <c r="J90" s="212"/>
      <c r="K90" s="228">
        <f t="shared" si="18"/>
        <v>1</v>
      </c>
      <c r="L90" s="211"/>
      <c r="M90" s="228">
        <f t="shared" si="19"/>
        <v>42</v>
      </c>
      <c r="N90" s="212"/>
      <c r="O90" s="228" t="str">
        <f t="shared" si="20"/>
        <v/>
      </c>
      <c r="P90" s="212"/>
      <c r="Q90" s="228" t="str">
        <f t="shared" si="21"/>
        <v/>
      </c>
      <c r="R90" s="212"/>
      <c r="S90" s="228" t="str">
        <f t="shared" si="22"/>
        <v/>
      </c>
      <c r="T90" s="212"/>
      <c r="U90" s="228" t="str">
        <f t="shared" si="23"/>
        <v/>
      </c>
    </row>
    <row r="91" spans="6:21" s="179" customFormat="1" ht="12">
      <c r="F91" s="211"/>
      <c r="G91" s="228" t="str">
        <f t="shared" si="16"/>
        <v/>
      </c>
      <c r="H91" s="212"/>
      <c r="I91" s="228" t="str">
        <f t="shared" si="17"/>
        <v/>
      </c>
      <c r="J91" s="212"/>
      <c r="K91" s="228">
        <f t="shared" si="18"/>
        <v>1</v>
      </c>
      <c r="L91" s="211"/>
      <c r="M91" s="228">
        <f t="shared" si="19"/>
        <v>42</v>
      </c>
      <c r="N91" s="212"/>
      <c r="O91" s="228" t="str">
        <f t="shared" si="20"/>
        <v/>
      </c>
      <c r="P91" s="212"/>
      <c r="Q91" s="228" t="str">
        <f t="shared" si="21"/>
        <v/>
      </c>
      <c r="R91" s="212"/>
      <c r="S91" s="228" t="str">
        <f t="shared" si="22"/>
        <v/>
      </c>
      <c r="T91" s="212"/>
      <c r="U91" s="228" t="str">
        <f t="shared" si="23"/>
        <v/>
      </c>
    </row>
    <row r="92" spans="6:21" s="179" customFormat="1" ht="12">
      <c r="F92" s="211"/>
      <c r="G92" s="228" t="str">
        <f t="shared" si="16"/>
        <v/>
      </c>
      <c r="H92" s="212"/>
      <c r="I92" s="228" t="str">
        <f t="shared" si="17"/>
        <v/>
      </c>
      <c r="J92" s="212"/>
      <c r="K92" s="228">
        <f t="shared" si="18"/>
        <v>1</v>
      </c>
      <c r="L92" s="211"/>
      <c r="M92" s="228">
        <f t="shared" si="19"/>
        <v>42</v>
      </c>
      <c r="N92" s="212"/>
      <c r="O92" s="228" t="str">
        <f t="shared" si="20"/>
        <v/>
      </c>
      <c r="P92" s="212"/>
      <c r="Q92" s="228" t="str">
        <f t="shared" si="21"/>
        <v/>
      </c>
      <c r="R92" s="212"/>
      <c r="S92" s="228" t="str">
        <f t="shared" si="22"/>
        <v/>
      </c>
      <c r="T92" s="212"/>
      <c r="U92" s="228" t="str">
        <f t="shared" si="23"/>
        <v/>
      </c>
    </row>
    <row r="93" spans="6:21" s="179" customFormat="1" ht="12">
      <c r="F93" s="211"/>
      <c r="G93" s="228" t="str">
        <f t="shared" si="16"/>
        <v/>
      </c>
      <c r="H93" s="212"/>
      <c r="I93" s="228" t="str">
        <f t="shared" si="17"/>
        <v/>
      </c>
      <c r="J93" s="212"/>
      <c r="K93" s="228">
        <f t="shared" si="18"/>
        <v>1</v>
      </c>
      <c r="L93" s="211"/>
      <c r="M93" s="228">
        <f t="shared" si="19"/>
        <v>42</v>
      </c>
      <c r="N93" s="212"/>
      <c r="O93" s="228" t="str">
        <f t="shared" si="20"/>
        <v/>
      </c>
      <c r="P93" s="212"/>
      <c r="Q93" s="228" t="str">
        <f t="shared" si="21"/>
        <v/>
      </c>
      <c r="R93" s="212"/>
      <c r="S93" s="228" t="str">
        <f t="shared" si="22"/>
        <v/>
      </c>
      <c r="T93" s="212"/>
      <c r="U93" s="228" t="str">
        <f t="shared" si="23"/>
        <v/>
      </c>
    </row>
    <row r="94" spans="6:21" s="179" customFormat="1" ht="12">
      <c r="F94" s="211"/>
      <c r="G94" s="228" t="str">
        <f t="shared" si="16"/>
        <v/>
      </c>
      <c r="H94" s="212"/>
      <c r="I94" s="228" t="str">
        <f t="shared" si="17"/>
        <v/>
      </c>
      <c r="J94" s="212"/>
      <c r="K94" s="228">
        <f t="shared" si="18"/>
        <v>1</v>
      </c>
      <c r="L94" s="211"/>
      <c r="M94" s="228">
        <f t="shared" si="19"/>
        <v>42</v>
      </c>
      <c r="N94" s="212"/>
      <c r="O94" s="228" t="str">
        <f t="shared" si="20"/>
        <v/>
      </c>
      <c r="P94" s="212"/>
      <c r="Q94" s="228" t="str">
        <f t="shared" si="21"/>
        <v/>
      </c>
      <c r="R94" s="212"/>
      <c r="S94" s="228" t="str">
        <f t="shared" si="22"/>
        <v/>
      </c>
      <c r="T94" s="212"/>
      <c r="U94" s="228" t="str">
        <f t="shared" si="23"/>
        <v/>
      </c>
    </row>
    <row r="95" spans="6:21" s="179" customFormat="1" ht="12">
      <c r="F95" s="211"/>
      <c r="G95" s="228" t="str">
        <f t="shared" si="16"/>
        <v/>
      </c>
      <c r="H95" s="212"/>
      <c r="I95" s="228" t="str">
        <f t="shared" si="17"/>
        <v/>
      </c>
      <c r="J95" s="212"/>
      <c r="K95" s="228">
        <f t="shared" si="18"/>
        <v>1</v>
      </c>
      <c r="L95" s="211"/>
      <c r="M95" s="228">
        <f t="shared" si="19"/>
        <v>42</v>
      </c>
      <c r="N95" s="212"/>
      <c r="O95" s="228" t="str">
        <f t="shared" si="20"/>
        <v/>
      </c>
      <c r="P95" s="212"/>
      <c r="Q95" s="228" t="str">
        <f t="shared" si="21"/>
        <v/>
      </c>
      <c r="R95" s="212"/>
      <c r="S95" s="228" t="str">
        <f t="shared" si="22"/>
        <v/>
      </c>
      <c r="T95" s="212"/>
      <c r="U95" s="228" t="str">
        <f t="shared" si="23"/>
        <v/>
      </c>
    </row>
    <row r="96" spans="6:21" s="179" customFormat="1" ht="12">
      <c r="F96" s="211"/>
      <c r="G96" s="228" t="str">
        <f t="shared" si="16"/>
        <v/>
      </c>
      <c r="H96" s="212"/>
      <c r="I96" s="228" t="str">
        <f t="shared" si="17"/>
        <v/>
      </c>
      <c r="J96" s="212"/>
      <c r="K96" s="228">
        <f t="shared" si="18"/>
        <v>1</v>
      </c>
      <c r="L96" s="211"/>
      <c r="M96" s="228">
        <f t="shared" si="19"/>
        <v>42</v>
      </c>
      <c r="N96" s="212"/>
      <c r="O96" s="228" t="str">
        <f t="shared" si="20"/>
        <v/>
      </c>
      <c r="P96" s="212"/>
      <c r="Q96" s="228" t="str">
        <f t="shared" si="21"/>
        <v/>
      </c>
      <c r="R96" s="212"/>
      <c r="S96" s="228" t="str">
        <f t="shared" si="22"/>
        <v/>
      </c>
      <c r="T96" s="212"/>
      <c r="U96" s="228" t="str">
        <f t="shared" si="23"/>
        <v/>
      </c>
    </row>
    <row r="97" spans="6:21" s="179" customFormat="1" ht="12">
      <c r="F97" s="211"/>
      <c r="G97" s="228" t="str">
        <f t="shared" si="16"/>
        <v/>
      </c>
      <c r="H97" s="212"/>
      <c r="I97" s="228" t="str">
        <f t="shared" si="17"/>
        <v/>
      </c>
      <c r="J97" s="212"/>
      <c r="K97" s="228">
        <f t="shared" si="18"/>
        <v>1</v>
      </c>
      <c r="L97" s="211"/>
      <c r="M97" s="228">
        <f t="shared" si="19"/>
        <v>42</v>
      </c>
      <c r="N97" s="212"/>
      <c r="O97" s="228" t="str">
        <f t="shared" si="20"/>
        <v/>
      </c>
      <c r="P97" s="212"/>
      <c r="Q97" s="228" t="str">
        <f t="shared" si="21"/>
        <v/>
      </c>
      <c r="R97" s="212"/>
      <c r="S97" s="228" t="str">
        <f t="shared" si="22"/>
        <v/>
      </c>
      <c r="T97" s="212"/>
      <c r="U97" s="228" t="str">
        <f t="shared" si="23"/>
        <v/>
      </c>
    </row>
    <row r="98" spans="6:21" s="179" customFormat="1" ht="12">
      <c r="F98" s="211"/>
      <c r="G98" s="228" t="str">
        <f t="shared" si="16"/>
        <v/>
      </c>
      <c r="H98" s="212"/>
      <c r="I98" s="228" t="str">
        <f t="shared" si="17"/>
        <v/>
      </c>
      <c r="J98" s="212"/>
      <c r="K98" s="228">
        <f t="shared" si="18"/>
        <v>1</v>
      </c>
      <c r="L98" s="211"/>
      <c r="M98" s="228">
        <f t="shared" si="19"/>
        <v>42</v>
      </c>
      <c r="N98" s="212"/>
      <c r="O98" s="228" t="str">
        <f t="shared" si="20"/>
        <v/>
      </c>
      <c r="P98" s="212"/>
      <c r="Q98" s="228" t="str">
        <f t="shared" si="21"/>
        <v/>
      </c>
      <c r="R98" s="212"/>
      <c r="S98" s="228" t="str">
        <f t="shared" si="22"/>
        <v/>
      </c>
      <c r="T98" s="212"/>
      <c r="U98" s="228" t="str">
        <f t="shared" si="23"/>
        <v/>
      </c>
    </row>
    <row r="99" spans="6:21" s="179" customFormat="1" ht="12">
      <c r="F99" s="211"/>
      <c r="G99" s="228" t="str">
        <f t="shared" si="16"/>
        <v/>
      </c>
      <c r="H99" s="212"/>
      <c r="I99" s="228" t="str">
        <f t="shared" si="17"/>
        <v/>
      </c>
      <c r="J99" s="212"/>
      <c r="K99" s="228">
        <f t="shared" si="18"/>
        <v>1</v>
      </c>
      <c r="L99" s="211"/>
      <c r="M99" s="228">
        <f t="shared" si="19"/>
        <v>42</v>
      </c>
      <c r="N99" s="212"/>
      <c r="O99" s="228" t="str">
        <f t="shared" si="20"/>
        <v/>
      </c>
      <c r="P99" s="212"/>
      <c r="Q99" s="228" t="str">
        <f t="shared" si="21"/>
        <v/>
      </c>
      <c r="R99" s="212"/>
      <c r="S99" s="228" t="str">
        <f t="shared" si="22"/>
        <v/>
      </c>
      <c r="T99" s="212"/>
      <c r="U99" s="228" t="str">
        <f t="shared" si="23"/>
        <v/>
      </c>
    </row>
    <row r="100" spans="6:21" s="179" customFormat="1" ht="12">
      <c r="F100" s="211"/>
      <c r="G100" s="228" t="str">
        <f t="shared" si="16"/>
        <v/>
      </c>
      <c r="H100" s="212"/>
      <c r="I100" s="228" t="str">
        <f t="shared" si="17"/>
        <v/>
      </c>
      <c r="J100" s="212"/>
      <c r="K100" s="228">
        <f t="shared" si="18"/>
        <v>1</v>
      </c>
      <c r="L100" s="211"/>
      <c r="M100" s="228">
        <f t="shared" si="19"/>
        <v>42</v>
      </c>
      <c r="N100" s="212"/>
      <c r="O100" s="228" t="str">
        <f t="shared" si="20"/>
        <v/>
      </c>
      <c r="P100" s="212"/>
      <c r="Q100" s="228" t="str">
        <f t="shared" si="21"/>
        <v/>
      </c>
      <c r="R100" s="212"/>
      <c r="S100" s="228" t="str">
        <f t="shared" si="22"/>
        <v/>
      </c>
      <c r="T100" s="212"/>
      <c r="U100" s="228" t="str">
        <f t="shared" si="23"/>
        <v/>
      </c>
    </row>
    <row r="101" spans="6:21" s="179" customFormat="1" ht="12">
      <c r="F101" s="211"/>
      <c r="G101" s="228" t="str">
        <f t="shared" si="16"/>
        <v/>
      </c>
      <c r="H101" s="212"/>
      <c r="I101" s="228" t="str">
        <f t="shared" si="17"/>
        <v/>
      </c>
      <c r="J101" s="212"/>
      <c r="K101" s="228">
        <f t="shared" si="18"/>
        <v>1</v>
      </c>
      <c r="L101" s="211"/>
      <c r="M101" s="228">
        <f t="shared" si="19"/>
        <v>42</v>
      </c>
      <c r="N101" s="212"/>
      <c r="O101" s="228" t="str">
        <f t="shared" si="20"/>
        <v/>
      </c>
      <c r="P101" s="212"/>
      <c r="Q101" s="228" t="str">
        <f t="shared" si="21"/>
        <v/>
      </c>
      <c r="R101" s="212"/>
      <c r="S101" s="228" t="str">
        <f t="shared" si="22"/>
        <v/>
      </c>
      <c r="T101" s="212"/>
      <c r="U101" s="228" t="str">
        <f t="shared" si="23"/>
        <v/>
      </c>
    </row>
    <row r="102" spans="6:21" s="179" customFormat="1" ht="12">
      <c r="F102" s="211"/>
      <c r="G102" s="228" t="str">
        <f t="shared" si="16"/>
        <v/>
      </c>
      <c r="H102" s="212"/>
      <c r="I102" s="228" t="str">
        <f t="shared" si="17"/>
        <v/>
      </c>
      <c r="J102" s="212"/>
      <c r="K102" s="228">
        <f t="shared" si="18"/>
        <v>1</v>
      </c>
      <c r="L102" s="211"/>
      <c r="M102" s="228">
        <f t="shared" si="19"/>
        <v>42</v>
      </c>
      <c r="N102" s="212"/>
      <c r="O102" s="228" t="str">
        <f t="shared" si="20"/>
        <v/>
      </c>
      <c r="P102" s="212"/>
      <c r="Q102" s="228" t="str">
        <f t="shared" si="21"/>
        <v/>
      </c>
      <c r="R102" s="212"/>
      <c r="S102" s="228" t="str">
        <f t="shared" si="22"/>
        <v/>
      </c>
      <c r="T102" s="212"/>
      <c r="U102" s="228" t="str">
        <f t="shared" si="23"/>
        <v/>
      </c>
    </row>
    <row r="103" spans="6:21" s="179" customFormat="1" ht="12">
      <c r="F103" s="211"/>
      <c r="G103" s="228" t="str">
        <f>IFERROR(RANK(F103,F$7:F$102),"")</f>
        <v/>
      </c>
      <c r="H103" s="212"/>
      <c r="I103" s="228" t="str">
        <f>IFERROR(RANK(H103,H$7:H$102),"")</f>
        <v/>
      </c>
      <c r="J103" s="212"/>
      <c r="K103" s="228">
        <f>IFERROR(RANK(J103,J$7:J$102),"")</f>
        <v>1</v>
      </c>
      <c r="L103" s="211"/>
      <c r="M103" s="228">
        <f>IFERROR(RANK(L103,L$7:L$102),"")</f>
        <v>42</v>
      </c>
      <c r="N103" s="212"/>
      <c r="O103" s="228" t="str">
        <f>IFERROR(IF(F103&gt;0,RANK(N103,N$7:N$102,1),""),"")</f>
        <v/>
      </c>
      <c r="P103" s="212"/>
      <c r="Q103" s="228" t="str">
        <f>IFERROR(RANK(P103,P$7:P$102),"")</f>
        <v/>
      </c>
      <c r="R103" s="212"/>
      <c r="S103" s="228" t="str">
        <f>IFERROR(IF(F103&gt;0,RANK(R103,R$7:R$102,0),""),"")</f>
        <v/>
      </c>
      <c r="T103" s="212"/>
      <c r="U103" s="228" t="str">
        <f>IFERROR(IF(F103&gt;0,RANK(T103,T$7:T$102,0),""),"")</f>
        <v/>
      </c>
    </row>
  </sheetData>
  <sheetProtection sheet="1" objects="1" scenarios="1"/>
  <sortState ref="C7:U103">
    <sortCondition descending="1" ref="T7:T103"/>
  </sortState>
  <mergeCells count="10">
    <mergeCell ref="C5:D5"/>
    <mergeCell ref="F1:Z2"/>
    <mergeCell ref="F4:G4"/>
    <mergeCell ref="H4:I4"/>
    <mergeCell ref="J4:K4"/>
    <mergeCell ref="L4:M4"/>
    <mergeCell ref="N4:O4"/>
    <mergeCell ref="P4:Q4"/>
    <mergeCell ref="R4:S4"/>
    <mergeCell ref="T4:U4"/>
  </mergeCells>
  <conditionalFormatting sqref="G6">
    <cfRule type="colorScale" priority="24">
      <colorScale>
        <cfvo type="min"/>
        <cfvo type="percentile" val="50"/>
        <cfvo type="max"/>
        <color theme="4" tint="0.79998168889431442"/>
        <color theme="4" tint="0.59999389629810485"/>
        <color theme="4" tint="0.39997558519241921"/>
      </colorScale>
    </cfRule>
  </conditionalFormatting>
  <conditionalFormatting sqref="K6">
    <cfRule type="colorScale" priority="23">
      <colorScale>
        <cfvo type="min"/>
        <cfvo type="percentile" val="50"/>
        <cfvo type="max"/>
        <color theme="4" tint="0.79998168889431442"/>
        <color theme="4" tint="0.59999389629810485"/>
        <color theme="4" tint="0.39997558519241921"/>
      </colorScale>
    </cfRule>
  </conditionalFormatting>
  <conditionalFormatting sqref="M6">
    <cfRule type="colorScale" priority="22">
      <colorScale>
        <cfvo type="min"/>
        <cfvo type="percentile" val="50"/>
        <cfvo type="max"/>
        <color theme="4" tint="0.79998168889431442"/>
        <color theme="4" tint="0.59999389629810485"/>
        <color theme="4" tint="0.39997558519241921"/>
      </colorScale>
    </cfRule>
  </conditionalFormatting>
  <conditionalFormatting sqref="O6">
    <cfRule type="colorScale" priority="21">
      <colorScale>
        <cfvo type="min"/>
        <cfvo type="percentile" val="50"/>
        <cfvo type="max"/>
        <color theme="4" tint="0.79998168889431442"/>
        <color theme="4" tint="0.59999389629810485"/>
        <color theme="4" tint="0.39997558519241921"/>
      </colorScale>
    </cfRule>
  </conditionalFormatting>
  <conditionalFormatting sqref="Q6">
    <cfRule type="colorScale" priority="20">
      <colorScale>
        <cfvo type="min"/>
        <cfvo type="percentile" val="50"/>
        <cfvo type="max"/>
        <color theme="4" tint="0.79998168889431442"/>
        <color theme="4" tint="0.59999389629810485"/>
        <color theme="4" tint="0.39997558519241921"/>
      </colorScale>
    </cfRule>
  </conditionalFormatting>
  <conditionalFormatting sqref="S6">
    <cfRule type="colorScale" priority="19">
      <colorScale>
        <cfvo type="min"/>
        <cfvo type="percentile" val="50"/>
        <cfvo type="max"/>
        <color theme="4" tint="0.79998168889431442"/>
        <color theme="4" tint="0.59999389629810485"/>
        <color theme="4" tint="0.39997558519241921"/>
      </colorScale>
    </cfRule>
  </conditionalFormatting>
  <conditionalFormatting sqref="U6">
    <cfRule type="colorScale" priority="18">
      <colorScale>
        <cfvo type="min"/>
        <cfvo type="percentile" val="50"/>
        <cfvo type="max"/>
        <color theme="4" tint="0.79998168889431442"/>
        <color theme="4" tint="0.59999389629810485"/>
        <color theme="4" tint="0.39997558519241921"/>
      </colorScale>
    </cfRule>
  </conditionalFormatting>
  <conditionalFormatting sqref="I6">
    <cfRule type="colorScale" priority="17">
      <colorScale>
        <cfvo type="min"/>
        <cfvo type="percentile" val="50"/>
        <cfvo type="max"/>
        <color theme="4" tint="0.79998168889431442"/>
        <color theme="4" tint="0.59999389629810485"/>
        <color theme="4" tint="0.39997558519241921"/>
      </colorScale>
    </cfRule>
  </conditionalFormatting>
  <conditionalFormatting sqref="G7:G102">
    <cfRule type="colorScale" priority="16">
      <colorScale>
        <cfvo type="min"/>
        <cfvo type="percentile" val="50"/>
        <cfvo type="max"/>
        <color theme="4" tint="0.79998168889431442"/>
        <color theme="4" tint="0.59999389629810485"/>
        <color theme="4" tint="0.39997558519241921"/>
      </colorScale>
    </cfRule>
  </conditionalFormatting>
  <conditionalFormatting sqref="K7:K102">
    <cfRule type="colorScale" priority="15">
      <colorScale>
        <cfvo type="min"/>
        <cfvo type="percentile" val="50"/>
        <cfvo type="max"/>
        <color theme="4" tint="0.79998168889431442"/>
        <color theme="4" tint="0.59999389629810485"/>
        <color theme="4" tint="0.39997558519241921"/>
      </colorScale>
    </cfRule>
  </conditionalFormatting>
  <conditionalFormatting sqref="M7:M102">
    <cfRule type="colorScale" priority="14">
      <colorScale>
        <cfvo type="min"/>
        <cfvo type="percentile" val="50"/>
        <cfvo type="max"/>
        <color theme="4" tint="0.79998168889431442"/>
        <color theme="4" tint="0.59999389629810485"/>
        <color theme="4" tint="0.39997558519241921"/>
      </colorScale>
    </cfRule>
  </conditionalFormatting>
  <conditionalFormatting sqref="O7:O102">
    <cfRule type="colorScale" priority="13">
      <colorScale>
        <cfvo type="min"/>
        <cfvo type="percentile" val="50"/>
        <cfvo type="max"/>
        <color theme="4" tint="0.79998168889431442"/>
        <color theme="4" tint="0.59999389629810485"/>
        <color theme="4" tint="0.39997558519241921"/>
      </colorScale>
    </cfRule>
  </conditionalFormatting>
  <conditionalFormatting sqref="Q7:Q102">
    <cfRule type="colorScale" priority="12">
      <colorScale>
        <cfvo type="min"/>
        <cfvo type="percentile" val="50"/>
        <cfvo type="max"/>
        <color theme="4" tint="0.79998168889431442"/>
        <color theme="4" tint="0.59999389629810485"/>
        <color theme="4" tint="0.39997558519241921"/>
      </colorScale>
    </cfRule>
  </conditionalFormatting>
  <conditionalFormatting sqref="S7:S102">
    <cfRule type="colorScale" priority="11">
      <colorScale>
        <cfvo type="min"/>
        <cfvo type="percentile" val="50"/>
        <cfvo type="max"/>
        <color theme="4" tint="0.79998168889431442"/>
        <color theme="4" tint="0.59999389629810485"/>
        <color theme="4" tint="0.39997558519241921"/>
      </colorScale>
    </cfRule>
  </conditionalFormatting>
  <conditionalFormatting sqref="U7:U102">
    <cfRule type="colorScale" priority="10">
      <colorScale>
        <cfvo type="min"/>
        <cfvo type="percentile" val="50"/>
        <cfvo type="max"/>
        <color theme="4" tint="0.79998168889431442"/>
        <color theme="4" tint="0.59999389629810485"/>
        <color theme="4" tint="0.39997558519241921"/>
      </colorScale>
    </cfRule>
  </conditionalFormatting>
  <conditionalFormatting sqref="I7:I102">
    <cfRule type="colorScale" priority="9">
      <colorScale>
        <cfvo type="min"/>
        <cfvo type="percentile" val="50"/>
        <cfvo type="max"/>
        <color theme="4" tint="0.79998168889431442"/>
        <color theme="4" tint="0.59999389629810485"/>
        <color theme="4" tint="0.39997558519241921"/>
      </colorScale>
    </cfRule>
  </conditionalFormatting>
  <conditionalFormatting sqref="G103">
    <cfRule type="colorScale" priority="8">
      <colorScale>
        <cfvo type="min"/>
        <cfvo type="percentile" val="50"/>
        <cfvo type="max"/>
        <color theme="4" tint="0.79998168889431442"/>
        <color theme="4" tint="0.59999389629810485"/>
        <color theme="4" tint="0.39997558519241921"/>
      </colorScale>
    </cfRule>
  </conditionalFormatting>
  <conditionalFormatting sqref="K103">
    <cfRule type="colorScale" priority="7">
      <colorScale>
        <cfvo type="min"/>
        <cfvo type="percentile" val="50"/>
        <cfvo type="max"/>
        <color theme="4" tint="0.79998168889431442"/>
        <color theme="4" tint="0.59999389629810485"/>
        <color theme="4" tint="0.39997558519241921"/>
      </colorScale>
    </cfRule>
  </conditionalFormatting>
  <conditionalFormatting sqref="M103">
    <cfRule type="colorScale" priority="6">
      <colorScale>
        <cfvo type="min"/>
        <cfvo type="percentile" val="50"/>
        <cfvo type="max"/>
        <color theme="4" tint="0.79998168889431442"/>
        <color theme="4" tint="0.59999389629810485"/>
        <color theme="4" tint="0.39997558519241921"/>
      </colorScale>
    </cfRule>
  </conditionalFormatting>
  <conditionalFormatting sqref="O103">
    <cfRule type="colorScale" priority="5">
      <colorScale>
        <cfvo type="min"/>
        <cfvo type="percentile" val="50"/>
        <cfvo type="max"/>
        <color theme="4" tint="0.79998168889431442"/>
        <color theme="4" tint="0.59999389629810485"/>
        <color theme="4" tint="0.39997558519241921"/>
      </colorScale>
    </cfRule>
  </conditionalFormatting>
  <conditionalFormatting sqref="Q103">
    <cfRule type="colorScale" priority="4">
      <colorScale>
        <cfvo type="min"/>
        <cfvo type="percentile" val="50"/>
        <cfvo type="max"/>
        <color theme="4" tint="0.79998168889431442"/>
        <color theme="4" tint="0.59999389629810485"/>
        <color theme="4" tint="0.39997558519241921"/>
      </colorScale>
    </cfRule>
  </conditionalFormatting>
  <conditionalFormatting sqref="S103">
    <cfRule type="colorScale" priority="3">
      <colorScale>
        <cfvo type="min"/>
        <cfvo type="percentile" val="50"/>
        <cfvo type="max"/>
        <color theme="4" tint="0.79998168889431442"/>
        <color theme="4" tint="0.59999389629810485"/>
        <color theme="4" tint="0.39997558519241921"/>
      </colorScale>
    </cfRule>
  </conditionalFormatting>
  <conditionalFormatting sqref="U103">
    <cfRule type="colorScale" priority="2">
      <colorScale>
        <cfvo type="min"/>
        <cfvo type="percentile" val="50"/>
        <cfvo type="max"/>
        <color theme="4" tint="0.79998168889431442"/>
        <color theme="4" tint="0.59999389629810485"/>
        <color theme="4" tint="0.39997558519241921"/>
      </colorScale>
    </cfRule>
  </conditionalFormatting>
  <conditionalFormatting sqref="I103">
    <cfRule type="colorScale" priority="1">
      <colorScale>
        <cfvo type="min"/>
        <cfvo type="percentile" val="50"/>
        <cfvo type="max"/>
        <color theme="4" tint="0.79998168889431442"/>
        <color theme="4" tint="0.59999389629810485"/>
        <color theme="4" tint="0.39997558519241921"/>
      </colorScale>
    </cfRule>
  </conditionalFormatting>
  <pageMargins left="0.17" right="0.16" top="0.74803149606299213" bottom="0.74803149606299213" header="0.31496062992125984" footer="0.31496062992125984"/>
  <pageSetup paperSize="9" scale="69" fitToHeight="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Spinner 1">
              <controlPr defaultSize="0" autoPict="0" macro="[0]!GetAllStores">
                <anchor moveWithCells="1" sizeWithCells="1">
                  <from>
                    <xdr:col>4</xdr:col>
                    <xdr:colOff>9525</xdr:colOff>
                    <xdr:row>12</xdr:row>
                    <xdr:rowOff>0</xdr:rowOff>
                  </from>
                  <to>
                    <xdr:col>4</xdr:col>
                    <xdr:colOff>219075</xdr:colOff>
                    <xdr:row>12</xdr:row>
                    <xdr:rowOff>0</xdr:rowOff>
                  </to>
                </anchor>
              </controlPr>
            </control>
          </mc:Choice>
        </mc:AlternateContent>
        <mc:AlternateContent xmlns:mc="http://schemas.openxmlformats.org/markup-compatibility/2006">
          <mc:Choice Requires="x14">
            <control shapeId="20482" r:id="rId5" name="Spinner 2">
              <controlPr defaultSize="0" autoPict="0" macro="[0]!GetAllStores_SuperYTD">
                <anchor moveWithCells="1" sizeWithCells="1">
                  <from>
                    <xdr:col>4</xdr:col>
                    <xdr:colOff>19050</xdr:colOff>
                    <xdr:row>0</xdr:row>
                    <xdr:rowOff>285750</xdr:rowOff>
                  </from>
                  <to>
                    <xdr:col>4</xdr:col>
                    <xdr:colOff>228600</xdr:colOff>
                    <xdr:row>2</xdr:row>
                    <xdr:rowOff>9525</xdr:rowOff>
                  </to>
                </anchor>
              </controlPr>
            </control>
          </mc:Choice>
        </mc:AlternateContent>
        <mc:AlternateContent xmlns:mc="http://schemas.openxmlformats.org/markup-compatibility/2006">
          <mc:Choice Requires="x14">
            <control shapeId="20483" r:id="rId6" name="Button 3">
              <controlPr defaultSize="0" print="0" autoFill="0" autoPict="0" macro="[0]!GetAllStores_SuperYTD">
                <anchor moveWithCells="1" sizeWithCells="1">
                  <from>
                    <xdr:col>2</xdr:col>
                    <xdr:colOff>19050</xdr:colOff>
                    <xdr:row>0</xdr:row>
                    <xdr:rowOff>38100</xdr:rowOff>
                  </from>
                  <to>
                    <xdr:col>3</xdr:col>
                    <xdr:colOff>723900</xdr:colOff>
                    <xdr:row>0</xdr:row>
                    <xdr:rowOff>247650</xdr:rowOff>
                  </to>
                </anchor>
              </controlPr>
            </control>
          </mc:Choice>
        </mc:AlternateContent>
        <mc:AlternateContent xmlns:mc="http://schemas.openxmlformats.org/markup-compatibility/2006">
          <mc:Choice Requires="x14">
            <control shapeId="20484" r:id="rId7" name="Button 4">
              <controlPr defaultSize="0" print="0" autoFill="0" autoPict="0" macro="[0]!login">
                <anchor moveWithCells="1" sizeWithCells="1">
                  <from>
                    <xdr:col>3</xdr:col>
                    <xdr:colOff>723900</xdr:colOff>
                    <xdr:row>0</xdr:row>
                    <xdr:rowOff>38100</xdr:rowOff>
                  </from>
                  <to>
                    <xdr:col>4</xdr:col>
                    <xdr:colOff>419100</xdr:colOff>
                    <xdr:row>0</xdr:row>
                    <xdr:rowOff>247650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pageSetUpPr fitToPage="1"/>
  </sheetPr>
  <dimension ref="A1:AC103"/>
  <sheetViews>
    <sheetView showGridLines="0" showRowColHeaders="0" topLeftCell="C1" zoomScaleNormal="100" workbookViewId="0">
      <pane ySplit="6" topLeftCell="A7" activePane="bottomLeft" state="frozenSplit"/>
      <selection activeCell="F3" sqref="F3"/>
      <selection pane="bottomLeft" activeCell="D3" sqref="D3"/>
    </sheetView>
  </sheetViews>
  <sheetFormatPr baseColWidth="10" defaultColWidth="9.140625" defaultRowHeight="15"/>
  <cols>
    <col min="1" max="2" width="0" hidden="1" customWidth="1"/>
    <col min="3" max="3" width="6.85546875" customWidth="1"/>
    <col min="4" max="4" width="20" bestFit="1" customWidth="1"/>
    <col min="5" max="5" width="7" bestFit="1" customWidth="1"/>
    <col min="6" max="6" width="11" style="2" bestFit="1" customWidth="1"/>
    <col min="7" max="7" width="4" style="3" bestFit="1" customWidth="1"/>
    <col min="8" max="8" width="10.5703125" style="10" customWidth="1"/>
    <col min="9" max="9" width="3.28515625" style="3" bestFit="1" customWidth="1"/>
    <col min="10" max="10" width="12.28515625" style="10" bestFit="1" customWidth="1"/>
    <col min="11" max="11" width="2.7109375" style="3" bestFit="1" customWidth="1"/>
    <col min="12" max="12" width="9.42578125" style="2" customWidth="1"/>
    <col min="13" max="13" width="2.7109375" style="3" bestFit="1" customWidth="1"/>
    <col min="14" max="14" width="11.5703125" style="10" bestFit="1" customWidth="1"/>
    <col min="15" max="15" width="3.42578125" style="3" bestFit="1" customWidth="1"/>
    <col min="16" max="16" width="9.140625" style="10"/>
    <col min="17" max="17" width="3.42578125" style="3" bestFit="1" customWidth="1"/>
    <col min="18" max="18" width="9.140625" style="10"/>
    <col min="19" max="19" width="2.7109375" style="3" bestFit="1" customWidth="1"/>
    <col min="20" max="20" width="9.7109375" style="10" bestFit="1" customWidth="1"/>
    <col min="21" max="21" width="3.28515625" style="3" bestFit="1" customWidth="1"/>
  </cols>
  <sheetData>
    <row r="1" spans="1:29" ht="24" customHeight="1">
      <c r="A1" s="80"/>
      <c r="B1" s="77"/>
      <c r="C1" s="79"/>
      <c r="D1" s="79"/>
      <c r="E1" s="81"/>
      <c r="F1" s="903" t="s">
        <v>155</v>
      </c>
      <c r="G1" s="903"/>
      <c r="H1" s="903"/>
      <c r="I1" s="903"/>
      <c r="J1" s="903"/>
      <c r="K1" s="903"/>
      <c r="L1" s="903"/>
      <c r="M1" s="903"/>
      <c r="N1" s="903"/>
      <c r="O1" s="903"/>
      <c r="P1" s="903"/>
      <c r="Q1" s="903"/>
      <c r="R1" s="903"/>
      <c r="S1" s="216"/>
      <c r="T1" s="216"/>
      <c r="U1" s="216"/>
      <c r="V1" s="216"/>
      <c r="W1" s="216"/>
      <c r="X1" s="216"/>
      <c r="Y1" s="216"/>
      <c r="Z1" s="216"/>
      <c r="AA1" s="210"/>
      <c r="AB1" s="210"/>
      <c r="AC1" s="77"/>
    </row>
    <row r="2" spans="1:29" ht="15.75" customHeight="1">
      <c r="C2" s="87" t="s">
        <v>0</v>
      </c>
      <c r="D2" s="88">
        <v>6</v>
      </c>
      <c r="E2" s="77"/>
      <c r="F2" s="903"/>
      <c r="G2" s="903"/>
      <c r="H2" s="903"/>
      <c r="I2" s="903"/>
      <c r="J2" s="903"/>
      <c r="K2" s="903"/>
      <c r="L2" s="903"/>
      <c r="M2" s="903"/>
      <c r="N2" s="903"/>
      <c r="O2" s="903"/>
      <c r="P2" s="903"/>
      <c r="Q2" s="903"/>
      <c r="R2" s="903"/>
      <c r="S2" s="216"/>
      <c r="T2" s="216"/>
      <c r="U2" s="216"/>
      <c r="V2" s="216"/>
      <c r="W2" s="216"/>
      <c r="X2" s="216"/>
      <c r="Y2" s="216"/>
      <c r="Z2" s="216"/>
      <c r="AA2" s="216"/>
      <c r="AB2" s="216"/>
      <c r="AC2" s="77"/>
    </row>
    <row r="3" spans="1:29" ht="13.5" customHeight="1">
      <c r="A3" s="80"/>
      <c r="B3" s="77"/>
      <c r="C3" s="79"/>
      <c r="D3" s="79"/>
      <c r="E3" s="81"/>
      <c r="F3" s="210"/>
      <c r="G3" s="217"/>
      <c r="H3" s="934" t="s">
        <v>299</v>
      </c>
      <c r="I3" s="934"/>
      <c r="J3" s="934"/>
      <c r="K3" s="217"/>
      <c r="L3" s="210"/>
      <c r="M3" s="217"/>
      <c r="N3" s="210"/>
      <c r="O3" s="217"/>
      <c r="P3" s="210"/>
      <c r="Q3" s="217"/>
      <c r="R3" s="210"/>
      <c r="S3" s="217"/>
      <c r="T3" s="210"/>
      <c r="U3" s="217"/>
      <c r="V3" s="210"/>
      <c r="W3" s="210"/>
      <c r="X3" s="210"/>
      <c r="Y3" s="210"/>
      <c r="Z3" s="210"/>
      <c r="AA3" s="210"/>
      <c r="AB3" s="210"/>
      <c r="AC3" s="77"/>
    </row>
    <row r="4" spans="1:29" s="226" customFormat="1" ht="12.75">
      <c r="A4" s="224"/>
      <c r="B4" s="224"/>
      <c r="C4" s="225" t="s">
        <v>40</v>
      </c>
      <c r="D4" s="225" t="s">
        <v>41</v>
      </c>
      <c r="E4" s="225"/>
      <c r="F4" s="930" t="s">
        <v>29</v>
      </c>
      <c r="G4" s="931"/>
      <c r="H4" s="932" t="s">
        <v>44</v>
      </c>
      <c r="I4" s="933"/>
      <c r="J4" s="932" t="s">
        <v>5</v>
      </c>
      <c r="K4" s="933"/>
      <c r="L4" s="930" t="s">
        <v>47</v>
      </c>
      <c r="M4" s="931"/>
      <c r="N4" s="932" t="s">
        <v>46</v>
      </c>
      <c r="O4" s="933"/>
      <c r="P4" s="932" t="s">
        <v>6</v>
      </c>
      <c r="Q4" s="933"/>
      <c r="R4" s="932" t="s">
        <v>7</v>
      </c>
      <c r="S4" s="933"/>
      <c r="T4" s="932" t="s">
        <v>50</v>
      </c>
      <c r="U4" s="933"/>
      <c r="V4" s="225"/>
      <c r="W4" s="225"/>
      <c r="X4" s="225"/>
      <c r="Y4" s="225"/>
      <c r="Z4" s="225"/>
      <c r="AA4" s="225"/>
      <c r="AB4" s="225"/>
      <c r="AC4" s="225"/>
    </row>
    <row r="5" spans="1:29" s="223" customFormat="1" ht="24" customHeight="1" thickBot="1">
      <c r="A5" s="220"/>
      <c r="B5" s="220"/>
      <c r="C5" s="924" t="s">
        <v>153</v>
      </c>
      <c r="D5" s="925"/>
      <c r="E5" s="293"/>
      <c r="F5" s="294" t="e">
        <f>AVERAGE(F$7:F$100)</f>
        <v>#DIV/0!</v>
      </c>
      <c r="G5" s="295"/>
      <c r="H5" s="296" t="e">
        <f>AVERAGE(H$7:H$100)</f>
        <v>#DIV/0!</v>
      </c>
      <c r="I5" s="295"/>
      <c r="J5" s="296" t="e">
        <f>AVERAGE(J$7:J$100)</f>
        <v>#DIV/0!</v>
      </c>
      <c r="K5" s="295"/>
      <c r="L5" s="294" t="e">
        <f>AVERAGE(L$7:L$100)</f>
        <v>#DIV/0!</v>
      </c>
      <c r="M5" s="295"/>
      <c r="N5" s="296" t="e">
        <f>AVERAGE(N$7:N$100)</f>
        <v>#DIV/0!</v>
      </c>
      <c r="O5" s="295"/>
      <c r="P5" s="296" t="e">
        <f>AVERAGE(P$7:P$100)</f>
        <v>#DIV/0!</v>
      </c>
      <c r="Q5" s="295"/>
      <c r="R5" s="296" t="e">
        <f>AVERAGE(R$7:R$100)</f>
        <v>#DIV/0!</v>
      </c>
      <c r="S5" s="295"/>
      <c r="T5" s="296" t="e">
        <f>AVERAGE(T$7:T$100)</f>
        <v>#DIV/0!</v>
      </c>
      <c r="U5" s="295"/>
      <c r="V5" s="295"/>
      <c r="W5" s="295"/>
      <c r="X5" s="295"/>
      <c r="Y5" s="295"/>
      <c r="Z5" s="295"/>
      <c r="AA5" s="295"/>
      <c r="AB5" s="295"/>
      <c r="AC5" s="297"/>
    </row>
    <row r="6" spans="1:29" s="223" customFormat="1" ht="24" customHeight="1" thickTop="1">
      <c r="A6" s="220"/>
      <c r="B6" s="220"/>
      <c r="C6" s="218" t="str">
        <f>sysX!A2</f>
        <v>4301</v>
      </c>
      <c r="D6" s="218" t="str">
        <f>sysX!A4</f>
        <v>BERJASEN</v>
      </c>
      <c r="E6" s="219" t="str">
        <f>sysX!A6</f>
        <v>2019</v>
      </c>
      <c r="F6" s="221" t="e">
        <f>VLOOKUP($C$6,$C$7:$AC$102,4,FALSE)</f>
        <v>#N/A</v>
      </c>
      <c r="G6" s="227" t="str">
        <f>IFERROR(RANK(F6,F$6:F$101),"")</f>
        <v/>
      </c>
      <c r="H6" s="222" t="e">
        <f>VLOOKUP($C$6,$C$7:$AC$102,6,FALSE)</f>
        <v>#N/A</v>
      </c>
      <c r="I6" s="227" t="str">
        <f>IFERROR(RANK(H6,H$6:H$101),"")</f>
        <v/>
      </c>
      <c r="J6" s="222" t="e">
        <f>VLOOKUP($C$6,$C$7:$AC$102,8,FALSE)</f>
        <v>#N/A</v>
      </c>
      <c r="K6" s="227" t="str">
        <f>IFERROR(RANK(J6,J$6:J$101),"")</f>
        <v/>
      </c>
      <c r="L6" s="221" t="e">
        <f>VLOOKUP($C$6,$C$7:$AC$102,10,FALSE)</f>
        <v>#N/A</v>
      </c>
      <c r="M6" s="227" t="str">
        <f>IFERROR(RANK(L6,L$6:L$101),"")</f>
        <v/>
      </c>
      <c r="N6" s="222" t="e">
        <f>VLOOKUP($C$6,$C$7:$AC$102,12,FALSE)</f>
        <v>#N/A</v>
      </c>
      <c r="O6" s="227" t="str">
        <f>IFERROR(RANK(N6,N$6:N$101,1),"")</f>
        <v/>
      </c>
      <c r="P6" s="222" t="e">
        <f>VLOOKUP($C$6,$C$7:$AC$102,14,FALSE)</f>
        <v>#N/A</v>
      </c>
      <c r="Q6" s="227" t="str">
        <f>IFERROR(RANK(P6,P$6:P$101),"")</f>
        <v/>
      </c>
      <c r="R6" s="222" t="e">
        <f>VLOOKUP($C$6,$C$7:$AC$102,16,FALSE)</f>
        <v>#N/A</v>
      </c>
      <c r="S6" s="227" t="str">
        <f>IFERROR(RANK(R6,R$6:R$101,0),"")</f>
        <v/>
      </c>
      <c r="T6" s="222" t="e">
        <f>VLOOKUP($C$6,$C$7:$AC$102,18,FALSE)</f>
        <v>#N/A</v>
      </c>
      <c r="U6" s="227" t="str">
        <f>IFERROR(RANK(T6,T$6:T$101,0),"")</f>
        <v/>
      </c>
      <c r="V6" s="291"/>
      <c r="W6" s="291"/>
      <c r="X6" s="291"/>
      <c r="Y6" s="291"/>
      <c r="Z6" s="291"/>
      <c r="AA6" s="291"/>
      <c r="AB6" s="291"/>
      <c r="AC6" s="292"/>
    </row>
    <row r="7" spans="1:29" s="179" customFormat="1" ht="12">
      <c r="F7" s="211"/>
      <c r="G7" s="228" t="str">
        <f t="shared" ref="G7:G38" si="0">IFERROR(RANK(F7,F$7:F$102),"")</f>
        <v/>
      </c>
      <c r="H7" s="212"/>
      <c r="I7" s="228" t="str">
        <f t="shared" ref="I7:I38" si="1">IFERROR(RANK(H7,H$7:H$102),"")</f>
        <v/>
      </c>
      <c r="J7" s="212"/>
      <c r="K7" s="228" t="str">
        <f t="shared" ref="K7:K38" si="2">IFERROR(RANK(J7,J$7:J$102),"")</f>
        <v/>
      </c>
      <c r="L7" s="211"/>
      <c r="M7" s="228" t="str">
        <f t="shared" ref="M7:M38" si="3">IFERROR(RANK(L7,L$7:L$102),"")</f>
        <v/>
      </c>
      <c r="N7" s="212"/>
      <c r="O7" s="228" t="str">
        <f t="shared" ref="O7:O38" si="4">IFERROR(IF(F7&gt;0,RANK(N7,N$7:N$102,1),""),"")</f>
        <v/>
      </c>
      <c r="P7" s="212"/>
      <c r="Q7" s="228" t="str">
        <f t="shared" ref="Q7:Q38" si="5">IFERROR(RANK(P7,P$7:P$102),"")</f>
        <v/>
      </c>
      <c r="R7" s="212"/>
      <c r="S7" s="228" t="str">
        <f t="shared" ref="S7:S38" si="6">IFERROR(IF(F7&gt;0,RANK(R7,R$7:R$102,0),""),"")</f>
        <v/>
      </c>
      <c r="T7" s="212"/>
      <c r="U7" s="228" t="str">
        <f t="shared" ref="U7:U38" si="7">IFERROR(IF(F7&gt;0,RANK(T7,T$7:T$102,0),""),"")</f>
        <v/>
      </c>
    </row>
    <row r="8" spans="1:29" s="179" customFormat="1" ht="12">
      <c r="F8" s="211"/>
      <c r="G8" s="228" t="str">
        <f t="shared" si="0"/>
        <v/>
      </c>
      <c r="H8" s="212"/>
      <c r="I8" s="228" t="str">
        <f t="shared" si="1"/>
        <v/>
      </c>
      <c r="J8" s="212"/>
      <c r="K8" s="228" t="str">
        <f t="shared" si="2"/>
        <v/>
      </c>
      <c r="L8" s="211"/>
      <c r="M8" s="228" t="str">
        <f t="shared" si="3"/>
        <v/>
      </c>
      <c r="N8" s="212"/>
      <c r="O8" s="228" t="str">
        <f t="shared" si="4"/>
        <v/>
      </c>
      <c r="P8" s="212"/>
      <c r="Q8" s="228" t="str">
        <f t="shared" si="5"/>
        <v/>
      </c>
      <c r="R8" s="212"/>
      <c r="S8" s="228" t="str">
        <f t="shared" si="6"/>
        <v/>
      </c>
      <c r="T8" s="212"/>
      <c r="U8" s="228" t="str">
        <f t="shared" si="7"/>
        <v/>
      </c>
    </row>
    <row r="9" spans="1:29" s="179" customFormat="1" ht="12">
      <c r="F9" s="211"/>
      <c r="G9" s="228" t="str">
        <f t="shared" si="0"/>
        <v/>
      </c>
      <c r="H9" s="212"/>
      <c r="I9" s="228" t="str">
        <f t="shared" si="1"/>
        <v/>
      </c>
      <c r="J9" s="212"/>
      <c r="K9" s="228" t="str">
        <f t="shared" si="2"/>
        <v/>
      </c>
      <c r="L9" s="211"/>
      <c r="M9" s="228" t="str">
        <f t="shared" si="3"/>
        <v/>
      </c>
      <c r="N9" s="212"/>
      <c r="O9" s="228" t="str">
        <f t="shared" si="4"/>
        <v/>
      </c>
      <c r="P9" s="212"/>
      <c r="Q9" s="228" t="str">
        <f t="shared" si="5"/>
        <v/>
      </c>
      <c r="R9" s="212"/>
      <c r="S9" s="228" t="str">
        <f t="shared" si="6"/>
        <v/>
      </c>
      <c r="T9" s="212"/>
      <c r="U9" s="228" t="str">
        <f t="shared" si="7"/>
        <v/>
      </c>
    </row>
    <row r="10" spans="1:29" s="179" customFormat="1" ht="12">
      <c r="F10" s="211"/>
      <c r="G10" s="228" t="str">
        <f t="shared" si="0"/>
        <v/>
      </c>
      <c r="H10" s="212"/>
      <c r="I10" s="228" t="str">
        <f t="shared" si="1"/>
        <v/>
      </c>
      <c r="J10" s="212"/>
      <c r="K10" s="228" t="str">
        <f t="shared" si="2"/>
        <v/>
      </c>
      <c r="L10" s="211"/>
      <c r="M10" s="228" t="str">
        <f t="shared" si="3"/>
        <v/>
      </c>
      <c r="N10" s="212"/>
      <c r="O10" s="228" t="str">
        <f t="shared" si="4"/>
        <v/>
      </c>
      <c r="P10" s="212"/>
      <c r="Q10" s="228" t="str">
        <f t="shared" si="5"/>
        <v/>
      </c>
      <c r="R10" s="212"/>
      <c r="S10" s="228" t="str">
        <f t="shared" si="6"/>
        <v/>
      </c>
      <c r="T10" s="212"/>
      <c r="U10" s="228" t="str">
        <f t="shared" si="7"/>
        <v/>
      </c>
    </row>
    <row r="11" spans="1:29" s="179" customFormat="1" ht="12">
      <c r="F11" s="211"/>
      <c r="G11" s="228" t="str">
        <f t="shared" si="0"/>
        <v/>
      </c>
      <c r="H11" s="212"/>
      <c r="I11" s="228" t="str">
        <f t="shared" si="1"/>
        <v/>
      </c>
      <c r="J11" s="212"/>
      <c r="K11" s="228" t="str">
        <f t="shared" si="2"/>
        <v/>
      </c>
      <c r="L11" s="211"/>
      <c r="M11" s="228" t="str">
        <f t="shared" si="3"/>
        <v/>
      </c>
      <c r="N11" s="212"/>
      <c r="O11" s="228" t="str">
        <f t="shared" si="4"/>
        <v/>
      </c>
      <c r="P11" s="212"/>
      <c r="Q11" s="228" t="str">
        <f t="shared" si="5"/>
        <v/>
      </c>
      <c r="R11" s="212"/>
      <c r="S11" s="228" t="str">
        <f t="shared" si="6"/>
        <v/>
      </c>
      <c r="T11" s="212"/>
      <c r="U11" s="228" t="str">
        <f t="shared" si="7"/>
        <v/>
      </c>
    </row>
    <row r="12" spans="1:29" s="179" customFormat="1" ht="12">
      <c r="F12" s="211"/>
      <c r="G12" s="228" t="str">
        <f t="shared" si="0"/>
        <v/>
      </c>
      <c r="H12" s="212"/>
      <c r="I12" s="228" t="str">
        <f t="shared" si="1"/>
        <v/>
      </c>
      <c r="J12" s="212"/>
      <c r="K12" s="228" t="str">
        <f t="shared" si="2"/>
        <v/>
      </c>
      <c r="L12" s="211"/>
      <c r="M12" s="228" t="str">
        <f t="shared" si="3"/>
        <v/>
      </c>
      <c r="N12" s="212"/>
      <c r="O12" s="228" t="str">
        <f t="shared" si="4"/>
        <v/>
      </c>
      <c r="P12" s="212"/>
      <c r="Q12" s="228" t="str">
        <f t="shared" si="5"/>
        <v/>
      </c>
      <c r="R12" s="212"/>
      <c r="S12" s="228" t="str">
        <f t="shared" si="6"/>
        <v/>
      </c>
      <c r="T12" s="212"/>
      <c r="U12" s="228" t="str">
        <f t="shared" si="7"/>
        <v/>
      </c>
    </row>
    <row r="13" spans="1:29" s="179" customFormat="1" ht="12">
      <c r="F13" s="211"/>
      <c r="G13" s="228" t="str">
        <f t="shared" si="0"/>
        <v/>
      </c>
      <c r="H13" s="212"/>
      <c r="I13" s="228" t="str">
        <f t="shared" si="1"/>
        <v/>
      </c>
      <c r="J13" s="212"/>
      <c r="K13" s="228" t="str">
        <f t="shared" si="2"/>
        <v/>
      </c>
      <c r="L13" s="211"/>
      <c r="M13" s="228" t="str">
        <f t="shared" si="3"/>
        <v/>
      </c>
      <c r="N13" s="212"/>
      <c r="O13" s="228" t="str">
        <f t="shared" si="4"/>
        <v/>
      </c>
      <c r="P13" s="212"/>
      <c r="Q13" s="228" t="str">
        <f t="shared" si="5"/>
        <v/>
      </c>
      <c r="R13" s="212"/>
      <c r="S13" s="228" t="str">
        <f t="shared" si="6"/>
        <v/>
      </c>
      <c r="T13" s="212"/>
      <c r="U13" s="228" t="str">
        <f t="shared" si="7"/>
        <v/>
      </c>
    </row>
    <row r="14" spans="1:29" s="179" customFormat="1" ht="12">
      <c r="F14" s="211"/>
      <c r="G14" s="228" t="str">
        <f t="shared" si="0"/>
        <v/>
      </c>
      <c r="H14" s="212"/>
      <c r="I14" s="228" t="str">
        <f t="shared" si="1"/>
        <v/>
      </c>
      <c r="J14" s="212"/>
      <c r="K14" s="228" t="str">
        <f t="shared" si="2"/>
        <v/>
      </c>
      <c r="L14" s="211"/>
      <c r="M14" s="228" t="str">
        <f t="shared" si="3"/>
        <v/>
      </c>
      <c r="N14" s="212"/>
      <c r="O14" s="228" t="str">
        <f t="shared" si="4"/>
        <v/>
      </c>
      <c r="P14" s="212"/>
      <c r="Q14" s="228" t="str">
        <f t="shared" si="5"/>
        <v/>
      </c>
      <c r="R14" s="212"/>
      <c r="S14" s="228" t="str">
        <f t="shared" si="6"/>
        <v/>
      </c>
      <c r="T14" s="212"/>
      <c r="U14" s="228" t="str">
        <f t="shared" si="7"/>
        <v/>
      </c>
    </row>
    <row r="15" spans="1:29" s="179" customFormat="1" ht="12">
      <c r="F15" s="211"/>
      <c r="G15" s="228" t="str">
        <f t="shared" si="0"/>
        <v/>
      </c>
      <c r="H15" s="212"/>
      <c r="I15" s="228" t="str">
        <f t="shared" si="1"/>
        <v/>
      </c>
      <c r="J15" s="212"/>
      <c r="K15" s="228" t="str">
        <f t="shared" si="2"/>
        <v/>
      </c>
      <c r="L15" s="211"/>
      <c r="M15" s="228" t="str">
        <f t="shared" si="3"/>
        <v/>
      </c>
      <c r="N15" s="212"/>
      <c r="O15" s="228" t="str">
        <f t="shared" si="4"/>
        <v/>
      </c>
      <c r="P15" s="212"/>
      <c r="Q15" s="228" t="str">
        <f t="shared" si="5"/>
        <v/>
      </c>
      <c r="R15" s="212"/>
      <c r="S15" s="228" t="str">
        <f t="shared" si="6"/>
        <v/>
      </c>
      <c r="T15" s="212"/>
      <c r="U15" s="228" t="str">
        <f t="shared" si="7"/>
        <v/>
      </c>
    </row>
    <row r="16" spans="1:29" s="179" customFormat="1" ht="12">
      <c r="F16" s="211"/>
      <c r="G16" s="228" t="str">
        <f t="shared" si="0"/>
        <v/>
      </c>
      <c r="H16" s="212"/>
      <c r="I16" s="228" t="str">
        <f t="shared" si="1"/>
        <v/>
      </c>
      <c r="J16" s="212"/>
      <c r="K16" s="228" t="str">
        <f t="shared" si="2"/>
        <v/>
      </c>
      <c r="L16" s="211"/>
      <c r="M16" s="228" t="str">
        <f t="shared" si="3"/>
        <v/>
      </c>
      <c r="N16" s="212"/>
      <c r="O16" s="228" t="str">
        <f t="shared" si="4"/>
        <v/>
      </c>
      <c r="P16" s="212"/>
      <c r="Q16" s="228" t="str">
        <f t="shared" si="5"/>
        <v/>
      </c>
      <c r="R16" s="212"/>
      <c r="S16" s="228" t="str">
        <f t="shared" si="6"/>
        <v/>
      </c>
      <c r="T16" s="212"/>
      <c r="U16" s="228" t="str">
        <f t="shared" si="7"/>
        <v/>
      </c>
    </row>
    <row r="17" spans="6:21" s="179" customFormat="1" ht="12">
      <c r="F17" s="211"/>
      <c r="G17" s="228" t="str">
        <f t="shared" si="0"/>
        <v/>
      </c>
      <c r="H17" s="212"/>
      <c r="I17" s="228" t="str">
        <f t="shared" si="1"/>
        <v/>
      </c>
      <c r="J17" s="212"/>
      <c r="K17" s="228" t="str">
        <f t="shared" si="2"/>
        <v/>
      </c>
      <c r="L17" s="211"/>
      <c r="M17" s="228" t="str">
        <f t="shared" si="3"/>
        <v/>
      </c>
      <c r="N17" s="212"/>
      <c r="O17" s="228" t="str">
        <f t="shared" si="4"/>
        <v/>
      </c>
      <c r="P17" s="212"/>
      <c r="Q17" s="228" t="str">
        <f t="shared" si="5"/>
        <v/>
      </c>
      <c r="R17" s="212"/>
      <c r="S17" s="228" t="str">
        <f t="shared" si="6"/>
        <v/>
      </c>
      <c r="T17" s="212"/>
      <c r="U17" s="228" t="str">
        <f t="shared" si="7"/>
        <v/>
      </c>
    </row>
    <row r="18" spans="6:21" s="179" customFormat="1" ht="12">
      <c r="F18" s="211"/>
      <c r="G18" s="228" t="str">
        <f t="shared" si="0"/>
        <v/>
      </c>
      <c r="H18" s="212"/>
      <c r="I18" s="228" t="str">
        <f t="shared" si="1"/>
        <v/>
      </c>
      <c r="J18" s="212"/>
      <c r="K18" s="228" t="str">
        <f t="shared" si="2"/>
        <v/>
      </c>
      <c r="L18" s="211"/>
      <c r="M18" s="228" t="str">
        <f t="shared" si="3"/>
        <v/>
      </c>
      <c r="N18" s="212"/>
      <c r="O18" s="228" t="str">
        <f t="shared" si="4"/>
        <v/>
      </c>
      <c r="P18" s="212"/>
      <c r="Q18" s="228" t="str">
        <f t="shared" si="5"/>
        <v/>
      </c>
      <c r="R18" s="212"/>
      <c r="S18" s="228" t="str">
        <f t="shared" si="6"/>
        <v/>
      </c>
      <c r="T18" s="212"/>
      <c r="U18" s="228" t="str">
        <f t="shared" si="7"/>
        <v/>
      </c>
    </row>
    <row r="19" spans="6:21" s="179" customFormat="1" ht="12">
      <c r="F19" s="211"/>
      <c r="G19" s="228" t="str">
        <f t="shared" si="0"/>
        <v/>
      </c>
      <c r="H19" s="212"/>
      <c r="I19" s="228" t="str">
        <f t="shared" si="1"/>
        <v/>
      </c>
      <c r="J19" s="212"/>
      <c r="K19" s="228" t="str">
        <f t="shared" si="2"/>
        <v/>
      </c>
      <c r="L19" s="211"/>
      <c r="M19" s="228" t="str">
        <f t="shared" si="3"/>
        <v/>
      </c>
      <c r="N19" s="212"/>
      <c r="O19" s="228" t="str">
        <f t="shared" si="4"/>
        <v/>
      </c>
      <c r="P19" s="212"/>
      <c r="Q19" s="228" t="str">
        <f t="shared" si="5"/>
        <v/>
      </c>
      <c r="R19" s="212"/>
      <c r="S19" s="228" t="str">
        <f t="shared" si="6"/>
        <v/>
      </c>
      <c r="T19" s="212"/>
      <c r="U19" s="228" t="str">
        <f t="shared" si="7"/>
        <v/>
      </c>
    </row>
    <row r="20" spans="6:21" s="179" customFormat="1" ht="12">
      <c r="F20" s="211"/>
      <c r="G20" s="228" t="str">
        <f t="shared" si="0"/>
        <v/>
      </c>
      <c r="H20" s="212"/>
      <c r="I20" s="228" t="str">
        <f t="shared" si="1"/>
        <v/>
      </c>
      <c r="J20" s="212"/>
      <c r="K20" s="228" t="str">
        <f t="shared" si="2"/>
        <v/>
      </c>
      <c r="L20" s="211"/>
      <c r="M20" s="228" t="str">
        <f t="shared" si="3"/>
        <v/>
      </c>
      <c r="N20" s="212"/>
      <c r="O20" s="228" t="str">
        <f t="shared" si="4"/>
        <v/>
      </c>
      <c r="P20" s="212"/>
      <c r="Q20" s="228" t="str">
        <f t="shared" si="5"/>
        <v/>
      </c>
      <c r="R20" s="212"/>
      <c r="S20" s="228" t="str">
        <f t="shared" si="6"/>
        <v/>
      </c>
      <c r="T20" s="212"/>
      <c r="U20" s="228" t="str">
        <f t="shared" si="7"/>
        <v/>
      </c>
    </row>
    <row r="21" spans="6:21" s="179" customFormat="1" ht="12">
      <c r="F21" s="211"/>
      <c r="G21" s="228" t="str">
        <f t="shared" si="0"/>
        <v/>
      </c>
      <c r="H21" s="212"/>
      <c r="I21" s="228" t="str">
        <f t="shared" si="1"/>
        <v/>
      </c>
      <c r="J21" s="212"/>
      <c r="K21" s="228" t="str">
        <f t="shared" si="2"/>
        <v/>
      </c>
      <c r="L21" s="211"/>
      <c r="M21" s="228" t="str">
        <f t="shared" si="3"/>
        <v/>
      </c>
      <c r="N21" s="212"/>
      <c r="O21" s="228" t="str">
        <f t="shared" si="4"/>
        <v/>
      </c>
      <c r="P21" s="212"/>
      <c r="Q21" s="228" t="str">
        <f t="shared" si="5"/>
        <v/>
      </c>
      <c r="R21" s="212"/>
      <c r="S21" s="228" t="str">
        <f t="shared" si="6"/>
        <v/>
      </c>
      <c r="T21" s="212"/>
      <c r="U21" s="228" t="str">
        <f t="shared" si="7"/>
        <v/>
      </c>
    </row>
    <row r="22" spans="6:21" s="179" customFormat="1" ht="12">
      <c r="F22" s="211"/>
      <c r="G22" s="228" t="str">
        <f t="shared" si="0"/>
        <v/>
      </c>
      <c r="H22" s="212"/>
      <c r="I22" s="228" t="str">
        <f t="shared" si="1"/>
        <v/>
      </c>
      <c r="J22" s="212"/>
      <c r="K22" s="228" t="str">
        <f t="shared" si="2"/>
        <v/>
      </c>
      <c r="L22" s="211"/>
      <c r="M22" s="228" t="str">
        <f t="shared" si="3"/>
        <v/>
      </c>
      <c r="N22" s="212"/>
      <c r="O22" s="228" t="str">
        <f t="shared" si="4"/>
        <v/>
      </c>
      <c r="P22" s="212"/>
      <c r="Q22" s="228" t="str">
        <f t="shared" si="5"/>
        <v/>
      </c>
      <c r="R22" s="212"/>
      <c r="S22" s="228" t="str">
        <f t="shared" si="6"/>
        <v/>
      </c>
      <c r="T22" s="212"/>
      <c r="U22" s="228" t="str">
        <f t="shared" si="7"/>
        <v/>
      </c>
    </row>
    <row r="23" spans="6:21" s="179" customFormat="1" ht="12">
      <c r="F23" s="211"/>
      <c r="G23" s="228" t="str">
        <f t="shared" si="0"/>
        <v/>
      </c>
      <c r="H23" s="212"/>
      <c r="I23" s="228" t="str">
        <f t="shared" si="1"/>
        <v/>
      </c>
      <c r="J23" s="212"/>
      <c r="K23" s="228" t="str">
        <f t="shared" si="2"/>
        <v/>
      </c>
      <c r="L23" s="211"/>
      <c r="M23" s="228" t="str">
        <f t="shared" si="3"/>
        <v/>
      </c>
      <c r="N23" s="212"/>
      <c r="O23" s="228" t="str">
        <f t="shared" si="4"/>
        <v/>
      </c>
      <c r="P23" s="212"/>
      <c r="Q23" s="228" t="str">
        <f t="shared" si="5"/>
        <v/>
      </c>
      <c r="R23" s="212"/>
      <c r="S23" s="228" t="str">
        <f t="shared" si="6"/>
        <v/>
      </c>
      <c r="T23" s="212"/>
      <c r="U23" s="228" t="str">
        <f t="shared" si="7"/>
        <v/>
      </c>
    </row>
    <row r="24" spans="6:21" s="179" customFormat="1" ht="12">
      <c r="F24" s="211"/>
      <c r="G24" s="228" t="str">
        <f t="shared" si="0"/>
        <v/>
      </c>
      <c r="H24" s="212"/>
      <c r="I24" s="228" t="str">
        <f t="shared" si="1"/>
        <v/>
      </c>
      <c r="J24" s="212"/>
      <c r="K24" s="228" t="str">
        <f t="shared" si="2"/>
        <v/>
      </c>
      <c r="L24" s="211"/>
      <c r="M24" s="228" t="str">
        <f t="shared" si="3"/>
        <v/>
      </c>
      <c r="N24" s="212"/>
      <c r="O24" s="228" t="str">
        <f t="shared" si="4"/>
        <v/>
      </c>
      <c r="P24" s="212"/>
      <c r="Q24" s="228" t="str">
        <f t="shared" si="5"/>
        <v/>
      </c>
      <c r="R24" s="212"/>
      <c r="S24" s="228" t="str">
        <f t="shared" si="6"/>
        <v/>
      </c>
      <c r="T24" s="212"/>
      <c r="U24" s="228" t="str">
        <f t="shared" si="7"/>
        <v/>
      </c>
    </row>
    <row r="25" spans="6:21" s="179" customFormat="1" ht="12">
      <c r="F25" s="211"/>
      <c r="G25" s="228" t="str">
        <f t="shared" si="0"/>
        <v/>
      </c>
      <c r="H25" s="212"/>
      <c r="I25" s="228" t="str">
        <f t="shared" si="1"/>
        <v/>
      </c>
      <c r="J25" s="212"/>
      <c r="K25" s="228" t="str">
        <f t="shared" si="2"/>
        <v/>
      </c>
      <c r="L25" s="211"/>
      <c r="M25" s="228" t="str">
        <f t="shared" si="3"/>
        <v/>
      </c>
      <c r="N25" s="212"/>
      <c r="O25" s="228" t="str">
        <f t="shared" si="4"/>
        <v/>
      </c>
      <c r="P25" s="212"/>
      <c r="Q25" s="228" t="str">
        <f t="shared" si="5"/>
        <v/>
      </c>
      <c r="R25" s="212"/>
      <c r="S25" s="228" t="str">
        <f t="shared" si="6"/>
        <v/>
      </c>
      <c r="T25" s="212"/>
      <c r="U25" s="228" t="str">
        <f t="shared" si="7"/>
        <v/>
      </c>
    </row>
    <row r="26" spans="6:21" s="179" customFormat="1" ht="12">
      <c r="F26" s="211"/>
      <c r="G26" s="228" t="str">
        <f t="shared" si="0"/>
        <v/>
      </c>
      <c r="H26" s="212"/>
      <c r="I26" s="228" t="str">
        <f t="shared" si="1"/>
        <v/>
      </c>
      <c r="J26" s="212"/>
      <c r="K26" s="228" t="str">
        <f t="shared" si="2"/>
        <v/>
      </c>
      <c r="L26" s="211"/>
      <c r="M26" s="228" t="str">
        <f t="shared" si="3"/>
        <v/>
      </c>
      <c r="N26" s="212"/>
      <c r="O26" s="228" t="str">
        <f t="shared" si="4"/>
        <v/>
      </c>
      <c r="P26" s="212"/>
      <c r="Q26" s="228" t="str">
        <f t="shared" si="5"/>
        <v/>
      </c>
      <c r="R26" s="212"/>
      <c r="S26" s="228" t="str">
        <f t="shared" si="6"/>
        <v/>
      </c>
      <c r="T26" s="212"/>
      <c r="U26" s="228" t="str">
        <f t="shared" si="7"/>
        <v/>
      </c>
    </row>
    <row r="27" spans="6:21" s="179" customFormat="1" ht="12">
      <c r="F27" s="211"/>
      <c r="G27" s="228" t="str">
        <f t="shared" si="0"/>
        <v/>
      </c>
      <c r="H27" s="212"/>
      <c r="I27" s="228" t="str">
        <f t="shared" si="1"/>
        <v/>
      </c>
      <c r="J27" s="212"/>
      <c r="K27" s="228" t="str">
        <f t="shared" si="2"/>
        <v/>
      </c>
      <c r="L27" s="211"/>
      <c r="M27" s="228" t="str">
        <f t="shared" si="3"/>
        <v/>
      </c>
      <c r="N27" s="212"/>
      <c r="O27" s="228" t="str">
        <f t="shared" si="4"/>
        <v/>
      </c>
      <c r="P27" s="212"/>
      <c r="Q27" s="228" t="str">
        <f t="shared" si="5"/>
        <v/>
      </c>
      <c r="R27" s="212"/>
      <c r="S27" s="228" t="str">
        <f t="shared" si="6"/>
        <v/>
      </c>
      <c r="T27" s="212"/>
      <c r="U27" s="228" t="str">
        <f t="shared" si="7"/>
        <v/>
      </c>
    </row>
    <row r="28" spans="6:21" s="179" customFormat="1" ht="12">
      <c r="F28" s="211"/>
      <c r="G28" s="228" t="str">
        <f t="shared" si="0"/>
        <v/>
      </c>
      <c r="H28" s="212"/>
      <c r="I28" s="228" t="str">
        <f t="shared" si="1"/>
        <v/>
      </c>
      <c r="J28" s="212"/>
      <c r="K28" s="228" t="str">
        <f t="shared" si="2"/>
        <v/>
      </c>
      <c r="L28" s="211"/>
      <c r="M28" s="228" t="str">
        <f t="shared" si="3"/>
        <v/>
      </c>
      <c r="N28" s="212"/>
      <c r="O28" s="228" t="str">
        <f t="shared" si="4"/>
        <v/>
      </c>
      <c r="P28" s="212"/>
      <c r="Q28" s="228" t="str">
        <f t="shared" si="5"/>
        <v/>
      </c>
      <c r="R28" s="212"/>
      <c r="S28" s="228" t="str">
        <f t="shared" si="6"/>
        <v/>
      </c>
      <c r="T28" s="212"/>
      <c r="U28" s="228" t="str">
        <f t="shared" si="7"/>
        <v/>
      </c>
    </row>
    <row r="29" spans="6:21" s="179" customFormat="1" ht="12">
      <c r="F29" s="211"/>
      <c r="G29" s="228" t="str">
        <f t="shared" si="0"/>
        <v/>
      </c>
      <c r="H29" s="212"/>
      <c r="I29" s="228" t="str">
        <f t="shared" si="1"/>
        <v/>
      </c>
      <c r="J29" s="212"/>
      <c r="K29" s="228" t="str">
        <f t="shared" si="2"/>
        <v/>
      </c>
      <c r="L29" s="211"/>
      <c r="M29" s="228" t="str">
        <f t="shared" si="3"/>
        <v/>
      </c>
      <c r="N29" s="212"/>
      <c r="O29" s="228" t="str">
        <f t="shared" si="4"/>
        <v/>
      </c>
      <c r="P29" s="212"/>
      <c r="Q29" s="228" t="str">
        <f t="shared" si="5"/>
        <v/>
      </c>
      <c r="R29" s="212"/>
      <c r="S29" s="228" t="str">
        <f t="shared" si="6"/>
        <v/>
      </c>
      <c r="T29" s="212"/>
      <c r="U29" s="228" t="str">
        <f t="shared" si="7"/>
        <v/>
      </c>
    </row>
    <row r="30" spans="6:21" s="179" customFormat="1" ht="12">
      <c r="F30" s="211"/>
      <c r="G30" s="228" t="str">
        <f t="shared" si="0"/>
        <v/>
      </c>
      <c r="H30" s="212"/>
      <c r="I30" s="228" t="str">
        <f t="shared" si="1"/>
        <v/>
      </c>
      <c r="J30" s="212"/>
      <c r="K30" s="228" t="str">
        <f t="shared" si="2"/>
        <v/>
      </c>
      <c r="L30" s="211"/>
      <c r="M30" s="228" t="str">
        <f t="shared" si="3"/>
        <v/>
      </c>
      <c r="N30" s="212"/>
      <c r="O30" s="228" t="str">
        <f t="shared" si="4"/>
        <v/>
      </c>
      <c r="P30" s="212"/>
      <c r="Q30" s="228" t="str">
        <f t="shared" si="5"/>
        <v/>
      </c>
      <c r="R30" s="212"/>
      <c r="S30" s="228" t="str">
        <f t="shared" si="6"/>
        <v/>
      </c>
      <c r="T30" s="212"/>
      <c r="U30" s="228" t="str">
        <f t="shared" si="7"/>
        <v/>
      </c>
    </row>
    <row r="31" spans="6:21" s="179" customFormat="1" ht="12">
      <c r="F31" s="211"/>
      <c r="G31" s="228" t="str">
        <f t="shared" si="0"/>
        <v/>
      </c>
      <c r="H31" s="212"/>
      <c r="I31" s="228" t="str">
        <f t="shared" si="1"/>
        <v/>
      </c>
      <c r="J31" s="212"/>
      <c r="K31" s="228" t="str">
        <f t="shared" si="2"/>
        <v/>
      </c>
      <c r="L31" s="211"/>
      <c r="M31" s="228" t="str">
        <f t="shared" si="3"/>
        <v/>
      </c>
      <c r="N31" s="212"/>
      <c r="O31" s="228" t="str">
        <f t="shared" si="4"/>
        <v/>
      </c>
      <c r="P31" s="212"/>
      <c r="Q31" s="228" t="str">
        <f t="shared" si="5"/>
        <v/>
      </c>
      <c r="R31" s="212"/>
      <c r="S31" s="228" t="str">
        <f t="shared" si="6"/>
        <v/>
      </c>
      <c r="T31" s="212"/>
      <c r="U31" s="228" t="str">
        <f t="shared" si="7"/>
        <v/>
      </c>
    </row>
    <row r="32" spans="6:21" s="179" customFormat="1" ht="12">
      <c r="F32" s="211"/>
      <c r="G32" s="228" t="str">
        <f t="shared" si="0"/>
        <v/>
      </c>
      <c r="H32" s="212"/>
      <c r="I32" s="228" t="str">
        <f t="shared" si="1"/>
        <v/>
      </c>
      <c r="J32" s="212"/>
      <c r="K32" s="228" t="str">
        <f t="shared" si="2"/>
        <v/>
      </c>
      <c r="L32" s="211"/>
      <c r="M32" s="228" t="str">
        <f t="shared" si="3"/>
        <v/>
      </c>
      <c r="N32" s="212"/>
      <c r="O32" s="228" t="str">
        <f t="shared" si="4"/>
        <v/>
      </c>
      <c r="P32" s="212"/>
      <c r="Q32" s="228" t="str">
        <f t="shared" si="5"/>
        <v/>
      </c>
      <c r="R32" s="212"/>
      <c r="S32" s="228" t="str">
        <f t="shared" si="6"/>
        <v/>
      </c>
      <c r="T32" s="212"/>
      <c r="U32" s="228" t="str">
        <f t="shared" si="7"/>
        <v/>
      </c>
    </row>
    <row r="33" spans="6:21" s="179" customFormat="1" ht="12">
      <c r="F33" s="211"/>
      <c r="G33" s="228" t="str">
        <f t="shared" si="0"/>
        <v/>
      </c>
      <c r="H33" s="212"/>
      <c r="I33" s="228" t="str">
        <f t="shared" si="1"/>
        <v/>
      </c>
      <c r="J33" s="212"/>
      <c r="K33" s="228" t="str">
        <f t="shared" si="2"/>
        <v/>
      </c>
      <c r="L33" s="211"/>
      <c r="M33" s="228" t="str">
        <f t="shared" si="3"/>
        <v/>
      </c>
      <c r="N33" s="212"/>
      <c r="O33" s="228" t="str">
        <f t="shared" si="4"/>
        <v/>
      </c>
      <c r="P33" s="212"/>
      <c r="Q33" s="228" t="str">
        <f t="shared" si="5"/>
        <v/>
      </c>
      <c r="R33" s="212"/>
      <c r="S33" s="228" t="str">
        <f t="shared" si="6"/>
        <v/>
      </c>
      <c r="T33" s="212"/>
      <c r="U33" s="228" t="str">
        <f t="shared" si="7"/>
        <v/>
      </c>
    </row>
    <row r="34" spans="6:21" s="179" customFormat="1" ht="12">
      <c r="F34" s="211"/>
      <c r="G34" s="228" t="str">
        <f t="shared" si="0"/>
        <v/>
      </c>
      <c r="H34" s="212"/>
      <c r="I34" s="228" t="str">
        <f t="shared" si="1"/>
        <v/>
      </c>
      <c r="J34" s="212"/>
      <c r="K34" s="228" t="str">
        <f t="shared" si="2"/>
        <v/>
      </c>
      <c r="L34" s="211"/>
      <c r="M34" s="228" t="str">
        <f t="shared" si="3"/>
        <v/>
      </c>
      <c r="N34" s="212"/>
      <c r="O34" s="228" t="str">
        <f t="shared" si="4"/>
        <v/>
      </c>
      <c r="P34" s="212"/>
      <c r="Q34" s="228" t="str">
        <f t="shared" si="5"/>
        <v/>
      </c>
      <c r="R34" s="212"/>
      <c r="S34" s="228" t="str">
        <f t="shared" si="6"/>
        <v/>
      </c>
      <c r="T34" s="212"/>
      <c r="U34" s="228" t="str">
        <f t="shared" si="7"/>
        <v/>
      </c>
    </row>
    <row r="35" spans="6:21" s="179" customFormat="1" ht="12">
      <c r="F35" s="211"/>
      <c r="G35" s="228" t="str">
        <f t="shared" si="0"/>
        <v/>
      </c>
      <c r="H35" s="212"/>
      <c r="I35" s="228" t="str">
        <f t="shared" si="1"/>
        <v/>
      </c>
      <c r="J35" s="212"/>
      <c r="K35" s="228" t="str">
        <f t="shared" si="2"/>
        <v/>
      </c>
      <c r="L35" s="211"/>
      <c r="M35" s="228" t="str">
        <f t="shared" si="3"/>
        <v/>
      </c>
      <c r="N35" s="212"/>
      <c r="O35" s="228" t="str">
        <f t="shared" si="4"/>
        <v/>
      </c>
      <c r="P35" s="212"/>
      <c r="Q35" s="228" t="str">
        <f t="shared" si="5"/>
        <v/>
      </c>
      <c r="R35" s="212"/>
      <c r="S35" s="228" t="str">
        <f t="shared" si="6"/>
        <v/>
      </c>
      <c r="T35" s="212"/>
      <c r="U35" s="228" t="str">
        <f t="shared" si="7"/>
        <v/>
      </c>
    </row>
    <row r="36" spans="6:21" s="179" customFormat="1" ht="12">
      <c r="F36" s="211"/>
      <c r="G36" s="228" t="str">
        <f t="shared" si="0"/>
        <v/>
      </c>
      <c r="H36" s="212"/>
      <c r="I36" s="228" t="str">
        <f t="shared" si="1"/>
        <v/>
      </c>
      <c r="J36" s="212"/>
      <c r="K36" s="228" t="str">
        <f t="shared" si="2"/>
        <v/>
      </c>
      <c r="L36" s="211"/>
      <c r="M36" s="228" t="str">
        <f t="shared" si="3"/>
        <v/>
      </c>
      <c r="N36" s="212"/>
      <c r="O36" s="228" t="str">
        <f t="shared" si="4"/>
        <v/>
      </c>
      <c r="P36" s="212"/>
      <c r="Q36" s="228" t="str">
        <f t="shared" si="5"/>
        <v/>
      </c>
      <c r="R36" s="212"/>
      <c r="S36" s="228" t="str">
        <f t="shared" si="6"/>
        <v/>
      </c>
      <c r="T36" s="212"/>
      <c r="U36" s="228" t="str">
        <f t="shared" si="7"/>
        <v/>
      </c>
    </row>
    <row r="37" spans="6:21" s="179" customFormat="1" ht="12">
      <c r="F37" s="211"/>
      <c r="G37" s="228" t="str">
        <f t="shared" si="0"/>
        <v/>
      </c>
      <c r="H37" s="212"/>
      <c r="I37" s="228" t="str">
        <f t="shared" si="1"/>
        <v/>
      </c>
      <c r="J37" s="212"/>
      <c r="K37" s="228" t="str">
        <f t="shared" si="2"/>
        <v/>
      </c>
      <c r="L37" s="211"/>
      <c r="M37" s="228" t="str">
        <f t="shared" si="3"/>
        <v/>
      </c>
      <c r="N37" s="212"/>
      <c r="O37" s="228" t="str">
        <f t="shared" si="4"/>
        <v/>
      </c>
      <c r="P37" s="212"/>
      <c r="Q37" s="228" t="str">
        <f t="shared" si="5"/>
        <v/>
      </c>
      <c r="R37" s="212"/>
      <c r="S37" s="228" t="str">
        <f t="shared" si="6"/>
        <v/>
      </c>
      <c r="T37" s="212"/>
      <c r="U37" s="228" t="str">
        <f t="shared" si="7"/>
        <v/>
      </c>
    </row>
    <row r="38" spans="6:21" s="179" customFormat="1" ht="12">
      <c r="F38" s="211"/>
      <c r="G38" s="228" t="str">
        <f t="shared" si="0"/>
        <v/>
      </c>
      <c r="H38" s="212"/>
      <c r="I38" s="228" t="str">
        <f t="shared" si="1"/>
        <v/>
      </c>
      <c r="J38" s="212"/>
      <c r="K38" s="228" t="str">
        <f t="shared" si="2"/>
        <v/>
      </c>
      <c r="L38" s="211"/>
      <c r="M38" s="228" t="str">
        <f t="shared" si="3"/>
        <v/>
      </c>
      <c r="N38" s="212"/>
      <c r="O38" s="228" t="str">
        <f t="shared" si="4"/>
        <v/>
      </c>
      <c r="P38" s="212"/>
      <c r="Q38" s="228" t="str">
        <f t="shared" si="5"/>
        <v/>
      </c>
      <c r="R38" s="212"/>
      <c r="S38" s="228" t="str">
        <f t="shared" si="6"/>
        <v/>
      </c>
      <c r="T38" s="212"/>
      <c r="U38" s="228" t="str">
        <f t="shared" si="7"/>
        <v/>
      </c>
    </row>
    <row r="39" spans="6:21" s="179" customFormat="1" ht="12">
      <c r="F39" s="211"/>
      <c r="G39" s="228" t="str">
        <f t="shared" ref="G39:G70" si="8">IFERROR(RANK(F39,F$7:F$102),"")</f>
        <v/>
      </c>
      <c r="H39" s="212"/>
      <c r="I39" s="228" t="str">
        <f t="shared" ref="I39:I70" si="9">IFERROR(RANK(H39,H$7:H$102),"")</f>
        <v/>
      </c>
      <c r="J39" s="212"/>
      <c r="K39" s="228" t="str">
        <f t="shared" ref="K39:K70" si="10">IFERROR(RANK(J39,J$7:J$102),"")</f>
        <v/>
      </c>
      <c r="L39" s="211"/>
      <c r="M39" s="228" t="str">
        <f t="shared" ref="M39:M70" si="11">IFERROR(RANK(L39,L$7:L$102),"")</f>
        <v/>
      </c>
      <c r="N39" s="212"/>
      <c r="O39" s="228" t="str">
        <f t="shared" ref="O39:O70" si="12">IFERROR(IF(F39&gt;0,RANK(N39,N$7:N$102,1),""),"")</f>
        <v/>
      </c>
      <c r="P39" s="212"/>
      <c r="Q39" s="228" t="str">
        <f t="shared" ref="Q39:Q70" si="13">IFERROR(RANK(P39,P$7:P$102),"")</f>
        <v/>
      </c>
      <c r="R39" s="212"/>
      <c r="S39" s="228" t="str">
        <f t="shared" ref="S39:S70" si="14">IFERROR(IF(F39&gt;0,RANK(R39,R$7:R$102,0),""),"")</f>
        <v/>
      </c>
      <c r="T39" s="212"/>
      <c r="U39" s="228" t="str">
        <f t="shared" ref="U39:U70" si="15">IFERROR(IF(F39&gt;0,RANK(T39,T$7:T$102,0),""),"")</f>
        <v/>
      </c>
    </row>
    <row r="40" spans="6:21" s="179" customFormat="1" ht="12">
      <c r="F40" s="211"/>
      <c r="G40" s="228" t="str">
        <f t="shared" si="8"/>
        <v/>
      </c>
      <c r="H40" s="212"/>
      <c r="I40" s="228" t="str">
        <f t="shared" si="9"/>
        <v/>
      </c>
      <c r="J40" s="212"/>
      <c r="K40" s="228" t="str">
        <f t="shared" si="10"/>
        <v/>
      </c>
      <c r="L40" s="211"/>
      <c r="M40" s="228" t="str">
        <f t="shared" si="11"/>
        <v/>
      </c>
      <c r="N40" s="212"/>
      <c r="O40" s="228" t="str">
        <f t="shared" si="12"/>
        <v/>
      </c>
      <c r="P40" s="212"/>
      <c r="Q40" s="228" t="str">
        <f t="shared" si="13"/>
        <v/>
      </c>
      <c r="R40" s="212"/>
      <c r="S40" s="228" t="str">
        <f t="shared" si="14"/>
        <v/>
      </c>
      <c r="T40" s="212"/>
      <c r="U40" s="228" t="str">
        <f t="shared" si="15"/>
        <v/>
      </c>
    </row>
    <row r="41" spans="6:21" s="179" customFormat="1" ht="12">
      <c r="F41" s="211"/>
      <c r="G41" s="228" t="str">
        <f t="shared" si="8"/>
        <v/>
      </c>
      <c r="H41" s="212"/>
      <c r="I41" s="228" t="str">
        <f t="shared" si="9"/>
        <v/>
      </c>
      <c r="J41" s="212"/>
      <c r="K41" s="228" t="str">
        <f t="shared" si="10"/>
        <v/>
      </c>
      <c r="L41" s="211"/>
      <c r="M41" s="228" t="str">
        <f t="shared" si="11"/>
        <v/>
      </c>
      <c r="N41" s="212"/>
      <c r="O41" s="228" t="str">
        <f t="shared" si="12"/>
        <v/>
      </c>
      <c r="P41" s="212"/>
      <c r="Q41" s="228" t="str">
        <f t="shared" si="13"/>
        <v/>
      </c>
      <c r="R41" s="212"/>
      <c r="S41" s="228" t="str">
        <f t="shared" si="14"/>
        <v/>
      </c>
      <c r="T41" s="212"/>
      <c r="U41" s="228" t="str">
        <f t="shared" si="15"/>
        <v/>
      </c>
    </row>
    <row r="42" spans="6:21" s="179" customFormat="1" ht="12">
      <c r="F42" s="211"/>
      <c r="G42" s="228" t="str">
        <f t="shared" si="8"/>
        <v/>
      </c>
      <c r="H42" s="212"/>
      <c r="I42" s="228" t="str">
        <f t="shared" si="9"/>
        <v/>
      </c>
      <c r="J42" s="212"/>
      <c r="K42" s="228" t="str">
        <f t="shared" si="10"/>
        <v/>
      </c>
      <c r="L42" s="211"/>
      <c r="M42" s="228" t="str">
        <f t="shared" si="11"/>
        <v/>
      </c>
      <c r="N42" s="212"/>
      <c r="O42" s="228" t="str">
        <f t="shared" si="12"/>
        <v/>
      </c>
      <c r="P42" s="212"/>
      <c r="Q42" s="228" t="str">
        <f t="shared" si="13"/>
        <v/>
      </c>
      <c r="R42" s="212"/>
      <c r="S42" s="228" t="str">
        <f t="shared" si="14"/>
        <v/>
      </c>
      <c r="T42" s="212"/>
      <c r="U42" s="228" t="str">
        <f t="shared" si="15"/>
        <v/>
      </c>
    </row>
    <row r="43" spans="6:21" s="179" customFormat="1" ht="12">
      <c r="F43" s="211"/>
      <c r="G43" s="228" t="str">
        <f t="shared" si="8"/>
        <v/>
      </c>
      <c r="H43" s="212"/>
      <c r="I43" s="228" t="str">
        <f t="shared" si="9"/>
        <v/>
      </c>
      <c r="J43" s="212"/>
      <c r="K43" s="228" t="str">
        <f t="shared" si="10"/>
        <v/>
      </c>
      <c r="L43" s="211"/>
      <c r="M43" s="228" t="str">
        <f t="shared" si="11"/>
        <v/>
      </c>
      <c r="N43" s="212"/>
      <c r="O43" s="228" t="str">
        <f t="shared" si="12"/>
        <v/>
      </c>
      <c r="P43" s="212"/>
      <c r="Q43" s="228" t="str">
        <f t="shared" si="13"/>
        <v/>
      </c>
      <c r="R43" s="212"/>
      <c r="S43" s="228" t="str">
        <f t="shared" si="14"/>
        <v/>
      </c>
      <c r="T43" s="212"/>
      <c r="U43" s="228" t="str">
        <f t="shared" si="15"/>
        <v/>
      </c>
    </row>
    <row r="44" spans="6:21" s="179" customFormat="1" ht="12">
      <c r="F44" s="211"/>
      <c r="G44" s="228" t="str">
        <f t="shared" si="8"/>
        <v/>
      </c>
      <c r="H44" s="212"/>
      <c r="I44" s="228" t="str">
        <f t="shared" si="9"/>
        <v/>
      </c>
      <c r="J44" s="212"/>
      <c r="K44" s="228" t="str">
        <f t="shared" si="10"/>
        <v/>
      </c>
      <c r="L44" s="211"/>
      <c r="M44" s="228" t="str">
        <f t="shared" si="11"/>
        <v/>
      </c>
      <c r="N44" s="212"/>
      <c r="O44" s="228" t="str">
        <f t="shared" si="12"/>
        <v/>
      </c>
      <c r="P44" s="212"/>
      <c r="Q44" s="228" t="str">
        <f t="shared" si="13"/>
        <v/>
      </c>
      <c r="R44" s="212"/>
      <c r="S44" s="228" t="str">
        <f t="shared" si="14"/>
        <v/>
      </c>
      <c r="T44" s="212"/>
      <c r="U44" s="228" t="str">
        <f t="shared" si="15"/>
        <v/>
      </c>
    </row>
    <row r="45" spans="6:21" s="179" customFormat="1" ht="12">
      <c r="F45" s="211"/>
      <c r="G45" s="228" t="str">
        <f t="shared" si="8"/>
        <v/>
      </c>
      <c r="H45" s="212"/>
      <c r="I45" s="228" t="str">
        <f t="shared" si="9"/>
        <v/>
      </c>
      <c r="J45" s="212"/>
      <c r="K45" s="228" t="str">
        <f t="shared" si="10"/>
        <v/>
      </c>
      <c r="L45" s="211"/>
      <c r="M45" s="228" t="str">
        <f t="shared" si="11"/>
        <v/>
      </c>
      <c r="N45" s="212"/>
      <c r="O45" s="228" t="str">
        <f t="shared" si="12"/>
        <v/>
      </c>
      <c r="P45" s="212"/>
      <c r="Q45" s="228" t="str">
        <f t="shared" si="13"/>
        <v/>
      </c>
      <c r="R45" s="212"/>
      <c r="S45" s="228" t="str">
        <f t="shared" si="14"/>
        <v/>
      </c>
      <c r="T45" s="212"/>
      <c r="U45" s="228" t="str">
        <f t="shared" si="15"/>
        <v/>
      </c>
    </row>
    <row r="46" spans="6:21" s="179" customFormat="1" ht="12">
      <c r="F46" s="211"/>
      <c r="G46" s="228" t="str">
        <f t="shared" si="8"/>
        <v/>
      </c>
      <c r="H46" s="212"/>
      <c r="I46" s="228" t="str">
        <f t="shared" si="9"/>
        <v/>
      </c>
      <c r="J46" s="212"/>
      <c r="K46" s="228" t="str">
        <f t="shared" si="10"/>
        <v/>
      </c>
      <c r="L46" s="211"/>
      <c r="M46" s="228" t="str">
        <f t="shared" si="11"/>
        <v/>
      </c>
      <c r="N46" s="212"/>
      <c r="O46" s="228" t="str">
        <f t="shared" si="12"/>
        <v/>
      </c>
      <c r="P46" s="212"/>
      <c r="Q46" s="228" t="str">
        <f t="shared" si="13"/>
        <v/>
      </c>
      <c r="R46" s="212"/>
      <c r="S46" s="228" t="str">
        <f t="shared" si="14"/>
        <v/>
      </c>
      <c r="T46" s="212"/>
      <c r="U46" s="228" t="str">
        <f t="shared" si="15"/>
        <v/>
      </c>
    </row>
    <row r="47" spans="6:21" s="179" customFormat="1" ht="12">
      <c r="F47" s="211"/>
      <c r="G47" s="228" t="str">
        <f t="shared" si="8"/>
        <v/>
      </c>
      <c r="H47" s="212"/>
      <c r="I47" s="228" t="str">
        <f t="shared" si="9"/>
        <v/>
      </c>
      <c r="J47" s="212"/>
      <c r="K47" s="228" t="str">
        <f t="shared" si="10"/>
        <v/>
      </c>
      <c r="L47" s="211"/>
      <c r="M47" s="228" t="str">
        <f t="shared" si="11"/>
        <v/>
      </c>
      <c r="N47" s="212"/>
      <c r="O47" s="228" t="str">
        <f t="shared" si="12"/>
        <v/>
      </c>
      <c r="P47" s="212"/>
      <c r="Q47" s="228" t="str">
        <f t="shared" si="13"/>
        <v/>
      </c>
      <c r="R47" s="212"/>
      <c r="S47" s="228" t="str">
        <f t="shared" si="14"/>
        <v/>
      </c>
      <c r="T47" s="212"/>
      <c r="U47" s="228" t="str">
        <f t="shared" si="15"/>
        <v/>
      </c>
    </row>
    <row r="48" spans="6:21" s="179" customFormat="1" ht="12">
      <c r="F48" s="211"/>
      <c r="G48" s="228" t="str">
        <f t="shared" si="8"/>
        <v/>
      </c>
      <c r="H48" s="212"/>
      <c r="I48" s="228" t="str">
        <f t="shared" si="9"/>
        <v/>
      </c>
      <c r="J48" s="212"/>
      <c r="K48" s="228" t="str">
        <f t="shared" si="10"/>
        <v/>
      </c>
      <c r="L48" s="211"/>
      <c r="M48" s="228" t="str">
        <f t="shared" si="11"/>
        <v/>
      </c>
      <c r="N48" s="212"/>
      <c r="O48" s="228" t="str">
        <f t="shared" si="12"/>
        <v/>
      </c>
      <c r="P48" s="212"/>
      <c r="Q48" s="228" t="str">
        <f t="shared" si="13"/>
        <v/>
      </c>
      <c r="R48" s="212"/>
      <c r="S48" s="228" t="str">
        <f t="shared" si="14"/>
        <v/>
      </c>
      <c r="T48" s="212"/>
      <c r="U48" s="228" t="str">
        <f t="shared" si="15"/>
        <v/>
      </c>
    </row>
    <row r="49" spans="6:21" s="179" customFormat="1" ht="12">
      <c r="F49" s="211"/>
      <c r="G49" s="228" t="str">
        <f t="shared" si="8"/>
        <v/>
      </c>
      <c r="H49" s="212"/>
      <c r="I49" s="228" t="str">
        <f t="shared" si="9"/>
        <v/>
      </c>
      <c r="J49" s="212"/>
      <c r="K49" s="228" t="str">
        <f t="shared" si="10"/>
        <v/>
      </c>
      <c r="L49" s="211"/>
      <c r="M49" s="228" t="str">
        <f t="shared" si="11"/>
        <v/>
      </c>
      <c r="N49" s="212"/>
      <c r="O49" s="228" t="str">
        <f t="shared" si="12"/>
        <v/>
      </c>
      <c r="P49" s="212"/>
      <c r="Q49" s="228" t="str">
        <f t="shared" si="13"/>
        <v/>
      </c>
      <c r="R49" s="212"/>
      <c r="S49" s="228" t="str">
        <f t="shared" si="14"/>
        <v/>
      </c>
      <c r="T49" s="212"/>
      <c r="U49" s="228" t="str">
        <f t="shared" si="15"/>
        <v/>
      </c>
    </row>
    <row r="50" spans="6:21" s="179" customFormat="1" ht="12">
      <c r="F50" s="211"/>
      <c r="G50" s="228" t="str">
        <f t="shared" si="8"/>
        <v/>
      </c>
      <c r="H50" s="212"/>
      <c r="I50" s="228" t="str">
        <f t="shared" si="9"/>
        <v/>
      </c>
      <c r="J50" s="212"/>
      <c r="K50" s="228" t="str">
        <f t="shared" si="10"/>
        <v/>
      </c>
      <c r="L50" s="211"/>
      <c r="M50" s="228" t="str">
        <f t="shared" si="11"/>
        <v/>
      </c>
      <c r="N50" s="212"/>
      <c r="O50" s="228" t="str">
        <f t="shared" si="12"/>
        <v/>
      </c>
      <c r="P50" s="212"/>
      <c r="Q50" s="228" t="str">
        <f t="shared" si="13"/>
        <v/>
      </c>
      <c r="R50" s="212"/>
      <c r="S50" s="228" t="str">
        <f t="shared" si="14"/>
        <v/>
      </c>
      <c r="T50" s="212"/>
      <c r="U50" s="228" t="str">
        <f t="shared" si="15"/>
        <v/>
      </c>
    </row>
    <row r="51" spans="6:21" s="179" customFormat="1" ht="12">
      <c r="F51" s="211"/>
      <c r="G51" s="228" t="str">
        <f t="shared" si="8"/>
        <v/>
      </c>
      <c r="H51" s="212"/>
      <c r="I51" s="228" t="str">
        <f t="shared" si="9"/>
        <v/>
      </c>
      <c r="J51" s="212"/>
      <c r="K51" s="228" t="str">
        <f t="shared" si="10"/>
        <v/>
      </c>
      <c r="L51" s="211"/>
      <c r="M51" s="228" t="str">
        <f t="shared" si="11"/>
        <v/>
      </c>
      <c r="N51" s="212"/>
      <c r="O51" s="228" t="str">
        <f t="shared" si="12"/>
        <v/>
      </c>
      <c r="P51" s="212"/>
      <c r="Q51" s="228" t="str">
        <f t="shared" si="13"/>
        <v/>
      </c>
      <c r="R51" s="212"/>
      <c r="S51" s="228" t="str">
        <f t="shared" si="14"/>
        <v/>
      </c>
      <c r="T51" s="212"/>
      <c r="U51" s="228" t="str">
        <f t="shared" si="15"/>
        <v/>
      </c>
    </row>
    <row r="52" spans="6:21" s="179" customFormat="1" ht="12">
      <c r="F52" s="211"/>
      <c r="G52" s="228" t="str">
        <f t="shared" si="8"/>
        <v/>
      </c>
      <c r="H52" s="212"/>
      <c r="I52" s="228" t="str">
        <f t="shared" si="9"/>
        <v/>
      </c>
      <c r="J52" s="212"/>
      <c r="K52" s="228" t="str">
        <f t="shared" si="10"/>
        <v/>
      </c>
      <c r="L52" s="211"/>
      <c r="M52" s="228" t="str">
        <f t="shared" si="11"/>
        <v/>
      </c>
      <c r="N52" s="212"/>
      <c r="O52" s="228" t="str">
        <f t="shared" si="12"/>
        <v/>
      </c>
      <c r="P52" s="212"/>
      <c r="Q52" s="228" t="str">
        <f t="shared" si="13"/>
        <v/>
      </c>
      <c r="R52" s="212"/>
      <c r="S52" s="228" t="str">
        <f t="shared" si="14"/>
        <v/>
      </c>
      <c r="T52" s="212"/>
      <c r="U52" s="228" t="str">
        <f t="shared" si="15"/>
        <v/>
      </c>
    </row>
    <row r="53" spans="6:21" s="179" customFormat="1" ht="12">
      <c r="F53" s="211"/>
      <c r="G53" s="228" t="str">
        <f t="shared" si="8"/>
        <v/>
      </c>
      <c r="H53" s="212"/>
      <c r="I53" s="228" t="str">
        <f t="shared" si="9"/>
        <v/>
      </c>
      <c r="J53" s="212"/>
      <c r="K53" s="228" t="str">
        <f t="shared" si="10"/>
        <v/>
      </c>
      <c r="L53" s="211"/>
      <c r="M53" s="228" t="str">
        <f t="shared" si="11"/>
        <v/>
      </c>
      <c r="N53" s="212"/>
      <c r="O53" s="228" t="str">
        <f t="shared" si="12"/>
        <v/>
      </c>
      <c r="P53" s="212"/>
      <c r="Q53" s="228" t="str">
        <f t="shared" si="13"/>
        <v/>
      </c>
      <c r="R53" s="212"/>
      <c r="S53" s="228" t="str">
        <f t="shared" si="14"/>
        <v/>
      </c>
      <c r="T53" s="212"/>
      <c r="U53" s="228" t="str">
        <f t="shared" si="15"/>
        <v/>
      </c>
    </row>
    <row r="54" spans="6:21" s="179" customFormat="1" ht="12">
      <c r="F54" s="211"/>
      <c r="G54" s="228" t="str">
        <f t="shared" si="8"/>
        <v/>
      </c>
      <c r="H54" s="212"/>
      <c r="I54" s="228" t="str">
        <f t="shared" si="9"/>
        <v/>
      </c>
      <c r="J54" s="212"/>
      <c r="K54" s="228" t="str">
        <f t="shared" si="10"/>
        <v/>
      </c>
      <c r="L54" s="211"/>
      <c r="M54" s="228" t="str">
        <f t="shared" si="11"/>
        <v/>
      </c>
      <c r="N54" s="212"/>
      <c r="O54" s="228" t="str">
        <f t="shared" si="12"/>
        <v/>
      </c>
      <c r="P54" s="212"/>
      <c r="Q54" s="228" t="str">
        <f t="shared" si="13"/>
        <v/>
      </c>
      <c r="R54" s="212"/>
      <c r="S54" s="228" t="str">
        <f t="shared" si="14"/>
        <v/>
      </c>
      <c r="T54" s="212"/>
      <c r="U54" s="228" t="str">
        <f t="shared" si="15"/>
        <v/>
      </c>
    </row>
    <row r="55" spans="6:21" s="179" customFormat="1" ht="12">
      <c r="F55" s="211"/>
      <c r="G55" s="228" t="str">
        <f t="shared" si="8"/>
        <v/>
      </c>
      <c r="H55" s="212"/>
      <c r="I55" s="228" t="str">
        <f t="shared" si="9"/>
        <v/>
      </c>
      <c r="J55" s="212"/>
      <c r="K55" s="228" t="str">
        <f t="shared" si="10"/>
        <v/>
      </c>
      <c r="L55" s="211"/>
      <c r="M55" s="228" t="str">
        <f t="shared" si="11"/>
        <v/>
      </c>
      <c r="N55" s="212"/>
      <c r="O55" s="228" t="str">
        <f t="shared" si="12"/>
        <v/>
      </c>
      <c r="P55" s="212"/>
      <c r="Q55" s="228" t="str">
        <f t="shared" si="13"/>
        <v/>
      </c>
      <c r="R55" s="212"/>
      <c r="S55" s="228" t="str">
        <f t="shared" si="14"/>
        <v/>
      </c>
      <c r="T55" s="212"/>
      <c r="U55" s="228" t="str">
        <f t="shared" si="15"/>
        <v/>
      </c>
    </row>
    <row r="56" spans="6:21" s="179" customFormat="1" ht="12">
      <c r="F56" s="211"/>
      <c r="G56" s="228" t="str">
        <f t="shared" si="8"/>
        <v/>
      </c>
      <c r="H56" s="212"/>
      <c r="I56" s="228" t="str">
        <f t="shared" si="9"/>
        <v/>
      </c>
      <c r="J56" s="212"/>
      <c r="K56" s="228" t="str">
        <f t="shared" si="10"/>
        <v/>
      </c>
      <c r="L56" s="211"/>
      <c r="M56" s="228" t="str">
        <f t="shared" si="11"/>
        <v/>
      </c>
      <c r="N56" s="212"/>
      <c r="O56" s="228" t="str">
        <f t="shared" si="12"/>
        <v/>
      </c>
      <c r="P56" s="212"/>
      <c r="Q56" s="228" t="str">
        <f t="shared" si="13"/>
        <v/>
      </c>
      <c r="R56" s="212"/>
      <c r="S56" s="228" t="str">
        <f t="shared" si="14"/>
        <v/>
      </c>
      <c r="T56" s="212"/>
      <c r="U56" s="228" t="str">
        <f t="shared" si="15"/>
        <v/>
      </c>
    </row>
    <row r="57" spans="6:21" s="179" customFormat="1" ht="12">
      <c r="F57" s="211"/>
      <c r="G57" s="228" t="str">
        <f t="shared" si="8"/>
        <v/>
      </c>
      <c r="H57" s="212"/>
      <c r="I57" s="228" t="str">
        <f t="shared" si="9"/>
        <v/>
      </c>
      <c r="J57" s="212"/>
      <c r="K57" s="228" t="str">
        <f t="shared" si="10"/>
        <v/>
      </c>
      <c r="L57" s="211"/>
      <c r="M57" s="228" t="str">
        <f t="shared" si="11"/>
        <v/>
      </c>
      <c r="N57" s="212"/>
      <c r="O57" s="228" t="str">
        <f t="shared" si="12"/>
        <v/>
      </c>
      <c r="P57" s="212"/>
      <c r="Q57" s="228" t="str">
        <f t="shared" si="13"/>
        <v/>
      </c>
      <c r="R57" s="212"/>
      <c r="S57" s="228" t="str">
        <f t="shared" si="14"/>
        <v/>
      </c>
      <c r="T57" s="212"/>
      <c r="U57" s="228" t="str">
        <f t="shared" si="15"/>
        <v/>
      </c>
    </row>
    <row r="58" spans="6:21" s="179" customFormat="1" ht="12">
      <c r="F58" s="211"/>
      <c r="G58" s="228" t="str">
        <f t="shared" si="8"/>
        <v/>
      </c>
      <c r="H58" s="212"/>
      <c r="I58" s="228" t="str">
        <f t="shared" si="9"/>
        <v/>
      </c>
      <c r="J58" s="212"/>
      <c r="K58" s="228" t="str">
        <f t="shared" si="10"/>
        <v/>
      </c>
      <c r="L58" s="211"/>
      <c r="M58" s="228" t="str">
        <f t="shared" si="11"/>
        <v/>
      </c>
      <c r="N58" s="212"/>
      <c r="O58" s="228" t="str">
        <f t="shared" si="12"/>
        <v/>
      </c>
      <c r="P58" s="212"/>
      <c r="Q58" s="228" t="str">
        <f t="shared" si="13"/>
        <v/>
      </c>
      <c r="R58" s="212"/>
      <c r="S58" s="228" t="str">
        <f t="shared" si="14"/>
        <v/>
      </c>
      <c r="T58" s="212"/>
      <c r="U58" s="228" t="str">
        <f t="shared" si="15"/>
        <v/>
      </c>
    </row>
    <row r="59" spans="6:21" s="179" customFormat="1" ht="12">
      <c r="F59" s="211"/>
      <c r="G59" s="228" t="str">
        <f t="shared" si="8"/>
        <v/>
      </c>
      <c r="H59" s="212"/>
      <c r="I59" s="228" t="str">
        <f t="shared" si="9"/>
        <v/>
      </c>
      <c r="J59" s="212"/>
      <c r="K59" s="228" t="str">
        <f t="shared" si="10"/>
        <v/>
      </c>
      <c r="L59" s="211"/>
      <c r="M59" s="228" t="str">
        <f t="shared" si="11"/>
        <v/>
      </c>
      <c r="N59" s="212"/>
      <c r="O59" s="228" t="str">
        <f t="shared" si="12"/>
        <v/>
      </c>
      <c r="P59" s="212"/>
      <c r="Q59" s="228" t="str">
        <f t="shared" si="13"/>
        <v/>
      </c>
      <c r="R59" s="212"/>
      <c r="S59" s="228" t="str">
        <f t="shared" si="14"/>
        <v/>
      </c>
      <c r="T59" s="212"/>
      <c r="U59" s="228" t="str">
        <f t="shared" si="15"/>
        <v/>
      </c>
    </row>
    <row r="60" spans="6:21" s="179" customFormat="1" ht="12">
      <c r="F60" s="211"/>
      <c r="G60" s="228" t="str">
        <f t="shared" si="8"/>
        <v/>
      </c>
      <c r="H60" s="212"/>
      <c r="I60" s="228" t="str">
        <f t="shared" si="9"/>
        <v/>
      </c>
      <c r="J60" s="212"/>
      <c r="K60" s="228" t="str">
        <f t="shared" si="10"/>
        <v/>
      </c>
      <c r="L60" s="211"/>
      <c r="M60" s="228" t="str">
        <f t="shared" si="11"/>
        <v/>
      </c>
      <c r="N60" s="212"/>
      <c r="O60" s="228" t="str">
        <f t="shared" si="12"/>
        <v/>
      </c>
      <c r="P60" s="212"/>
      <c r="Q60" s="228" t="str">
        <f t="shared" si="13"/>
        <v/>
      </c>
      <c r="R60" s="212"/>
      <c r="S60" s="228" t="str">
        <f t="shared" si="14"/>
        <v/>
      </c>
      <c r="T60" s="212"/>
      <c r="U60" s="228" t="str">
        <f t="shared" si="15"/>
        <v/>
      </c>
    </row>
    <row r="61" spans="6:21" s="179" customFormat="1" ht="12">
      <c r="F61" s="211"/>
      <c r="G61" s="228" t="str">
        <f t="shared" si="8"/>
        <v/>
      </c>
      <c r="H61" s="212"/>
      <c r="I61" s="228" t="str">
        <f t="shared" si="9"/>
        <v/>
      </c>
      <c r="J61" s="212"/>
      <c r="K61" s="228" t="str">
        <f t="shared" si="10"/>
        <v/>
      </c>
      <c r="L61" s="211"/>
      <c r="M61" s="228" t="str">
        <f t="shared" si="11"/>
        <v/>
      </c>
      <c r="N61" s="212"/>
      <c r="O61" s="228" t="str">
        <f t="shared" si="12"/>
        <v/>
      </c>
      <c r="P61" s="212"/>
      <c r="Q61" s="228" t="str">
        <f t="shared" si="13"/>
        <v/>
      </c>
      <c r="R61" s="212"/>
      <c r="S61" s="228" t="str">
        <f t="shared" si="14"/>
        <v/>
      </c>
      <c r="T61" s="212"/>
      <c r="U61" s="228" t="str">
        <f t="shared" si="15"/>
        <v/>
      </c>
    </row>
    <row r="62" spans="6:21" s="179" customFormat="1" ht="12">
      <c r="F62" s="211"/>
      <c r="G62" s="228" t="str">
        <f t="shared" si="8"/>
        <v/>
      </c>
      <c r="H62" s="212"/>
      <c r="I62" s="228" t="str">
        <f t="shared" si="9"/>
        <v/>
      </c>
      <c r="J62" s="212"/>
      <c r="K62" s="228" t="str">
        <f t="shared" si="10"/>
        <v/>
      </c>
      <c r="L62" s="211"/>
      <c r="M62" s="228" t="str">
        <f t="shared" si="11"/>
        <v/>
      </c>
      <c r="N62" s="212"/>
      <c r="O62" s="228" t="str">
        <f t="shared" si="12"/>
        <v/>
      </c>
      <c r="P62" s="212"/>
      <c r="Q62" s="228" t="str">
        <f t="shared" si="13"/>
        <v/>
      </c>
      <c r="R62" s="212"/>
      <c r="S62" s="228" t="str">
        <f t="shared" si="14"/>
        <v/>
      </c>
      <c r="T62" s="212"/>
      <c r="U62" s="228" t="str">
        <f t="shared" si="15"/>
        <v/>
      </c>
    </row>
    <row r="63" spans="6:21" s="179" customFormat="1" ht="12">
      <c r="F63" s="211"/>
      <c r="G63" s="228" t="str">
        <f t="shared" si="8"/>
        <v/>
      </c>
      <c r="H63" s="212"/>
      <c r="I63" s="228" t="str">
        <f t="shared" si="9"/>
        <v/>
      </c>
      <c r="J63" s="212"/>
      <c r="K63" s="228" t="str">
        <f t="shared" si="10"/>
        <v/>
      </c>
      <c r="L63" s="211"/>
      <c r="M63" s="228" t="str">
        <f t="shared" si="11"/>
        <v/>
      </c>
      <c r="N63" s="212"/>
      <c r="O63" s="228" t="str">
        <f t="shared" si="12"/>
        <v/>
      </c>
      <c r="P63" s="212"/>
      <c r="Q63" s="228" t="str">
        <f t="shared" si="13"/>
        <v/>
      </c>
      <c r="R63" s="212"/>
      <c r="S63" s="228" t="str">
        <f t="shared" si="14"/>
        <v/>
      </c>
      <c r="T63" s="212"/>
      <c r="U63" s="228" t="str">
        <f t="shared" si="15"/>
        <v/>
      </c>
    </row>
    <row r="64" spans="6:21" s="179" customFormat="1" ht="12">
      <c r="F64" s="211"/>
      <c r="G64" s="228" t="str">
        <f t="shared" si="8"/>
        <v/>
      </c>
      <c r="H64" s="212"/>
      <c r="I64" s="228" t="str">
        <f t="shared" si="9"/>
        <v/>
      </c>
      <c r="J64" s="212"/>
      <c r="K64" s="228" t="str">
        <f t="shared" si="10"/>
        <v/>
      </c>
      <c r="L64" s="211"/>
      <c r="M64" s="228" t="str">
        <f t="shared" si="11"/>
        <v/>
      </c>
      <c r="N64" s="212"/>
      <c r="O64" s="228" t="str">
        <f t="shared" si="12"/>
        <v/>
      </c>
      <c r="P64" s="212"/>
      <c r="Q64" s="228" t="str">
        <f t="shared" si="13"/>
        <v/>
      </c>
      <c r="R64" s="212"/>
      <c r="S64" s="228" t="str">
        <f t="shared" si="14"/>
        <v/>
      </c>
      <c r="T64" s="212"/>
      <c r="U64" s="228" t="str">
        <f t="shared" si="15"/>
        <v/>
      </c>
    </row>
    <row r="65" spans="6:21" s="179" customFormat="1" ht="12">
      <c r="F65" s="211"/>
      <c r="G65" s="228" t="str">
        <f t="shared" si="8"/>
        <v/>
      </c>
      <c r="H65" s="212"/>
      <c r="I65" s="228" t="str">
        <f t="shared" si="9"/>
        <v/>
      </c>
      <c r="J65" s="212"/>
      <c r="K65" s="228" t="str">
        <f t="shared" si="10"/>
        <v/>
      </c>
      <c r="L65" s="211"/>
      <c r="M65" s="228" t="str">
        <f t="shared" si="11"/>
        <v/>
      </c>
      <c r="N65" s="212"/>
      <c r="O65" s="228" t="str">
        <f t="shared" si="12"/>
        <v/>
      </c>
      <c r="P65" s="212"/>
      <c r="Q65" s="228" t="str">
        <f t="shared" si="13"/>
        <v/>
      </c>
      <c r="R65" s="212"/>
      <c r="S65" s="228" t="str">
        <f t="shared" si="14"/>
        <v/>
      </c>
      <c r="T65" s="212"/>
      <c r="U65" s="228" t="str">
        <f t="shared" si="15"/>
        <v/>
      </c>
    </row>
    <row r="66" spans="6:21" s="179" customFormat="1" ht="12">
      <c r="F66" s="211"/>
      <c r="G66" s="228" t="str">
        <f t="shared" si="8"/>
        <v/>
      </c>
      <c r="H66" s="212"/>
      <c r="I66" s="228" t="str">
        <f t="shared" si="9"/>
        <v/>
      </c>
      <c r="J66" s="212"/>
      <c r="K66" s="228" t="str">
        <f t="shared" si="10"/>
        <v/>
      </c>
      <c r="L66" s="211"/>
      <c r="M66" s="228" t="str">
        <f t="shared" si="11"/>
        <v/>
      </c>
      <c r="N66" s="212"/>
      <c r="O66" s="228" t="str">
        <f t="shared" si="12"/>
        <v/>
      </c>
      <c r="P66" s="212"/>
      <c r="Q66" s="228" t="str">
        <f t="shared" si="13"/>
        <v/>
      </c>
      <c r="R66" s="212"/>
      <c r="S66" s="228" t="str">
        <f t="shared" si="14"/>
        <v/>
      </c>
      <c r="T66" s="212"/>
      <c r="U66" s="228" t="str">
        <f t="shared" si="15"/>
        <v/>
      </c>
    </row>
    <row r="67" spans="6:21" s="179" customFormat="1" ht="12">
      <c r="F67" s="211"/>
      <c r="G67" s="228" t="str">
        <f t="shared" si="8"/>
        <v/>
      </c>
      <c r="H67" s="212"/>
      <c r="I67" s="228" t="str">
        <f t="shared" si="9"/>
        <v/>
      </c>
      <c r="J67" s="212"/>
      <c r="K67" s="228" t="str">
        <f t="shared" si="10"/>
        <v/>
      </c>
      <c r="L67" s="211"/>
      <c r="M67" s="228" t="str">
        <f t="shared" si="11"/>
        <v/>
      </c>
      <c r="N67" s="212"/>
      <c r="O67" s="228" t="str">
        <f t="shared" si="12"/>
        <v/>
      </c>
      <c r="P67" s="212"/>
      <c r="Q67" s="228" t="str">
        <f t="shared" si="13"/>
        <v/>
      </c>
      <c r="R67" s="212"/>
      <c r="S67" s="228" t="str">
        <f t="shared" si="14"/>
        <v/>
      </c>
      <c r="T67" s="212"/>
      <c r="U67" s="228" t="str">
        <f t="shared" si="15"/>
        <v/>
      </c>
    </row>
    <row r="68" spans="6:21" s="179" customFormat="1" ht="12">
      <c r="F68" s="211"/>
      <c r="G68" s="228" t="str">
        <f t="shared" si="8"/>
        <v/>
      </c>
      <c r="H68" s="212"/>
      <c r="I68" s="228" t="str">
        <f t="shared" si="9"/>
        <v/>
      </c>
      <c r="J68" s="212"/>
      <c r="K68" s="228" t="str">
        <f t="shared" si="10"/>
        <v/>
      </c>
      <c r="L68" s="211"/>
      <c r="M68" s="228" t="str">
        <f t="shared" si="11"/>
        <v/>
      </c>
      <c r="N68" s="212"/>
      <c r="O68" s="228" t="str">
        <f t="shared" si="12"/>
        <v/>
      </c>
      <c r="P68" s="212"/>
      <c r="Q68" s="228" t="str">
        <f t="shared" si="13"/>
        <v/>
      </c>
      <c r="R68" s="212"/>
      <c r="S68" s="228" t="str">
        <f t="shared" si="14"/>
        <v/>
      </c>
      <c r="T68" s="212"/>
      <c r="U68" s="228" t="str">
        <f t="shared" si="15"/>
        <v/>
      </c>
    </row>
    <row r="69" spans="6:21" s="179" customFormat="1" ht="12">
      <c r="F69" s="211"/>
      <c r="G69" s="228" t="str">
        <f t="shared" si="8"/>
        <v/>
      </c>
      <c r="H69" s="212"/>
      <c r="I69" s="228" t="str">
        <f t="shared" si="9"/>
        <v/>
      </c>
      <c r="J69" s="212"/>
      <c r="K69" s="228" t="str">
        <f t="shared" si="10"/>
        <v/>
      </c>
      <c r="L69" s="211"/>
      <c r="M69" s="228" t="str">
        <f t="shared" si="11"/>
        <v/>
      </c>
      <c r="N69" s="212"/>
      <c r="O69" s="228" t="str">
        <f t="shared" si="12"/>
        <v/>
      </c>
      <c r="P69" s="212"/>
      <c r="Q69" s="228" t="str">
        <f t="shared" si="13"/>
        <v/>
      </c>
      <c r="R69" s="212"/>
      <c r="S69" s="228" t="str">
        <f t="shared" si="14"/>
        <v/>
      </c>
      <c r="T69" s="212"/>
      <c r="U69" s="228" t="str">
        <f t="shared" si="15"/>
        <v/>
      </c>
    </row>
    <row r="70" spans="6:21" s="179" customFormat="1" ht="12">
      <c r="F70" s="211"/>
      <c r="G70" s="228" t="str">
        <f t="shared" si="8"/>
        <v/>
      </c>
      <c r="H70" s="212"/>
      <c r="I70" s="228" t="str">
        <f t="shared" si="9"/>
        <v/>
      </c>
      <c r="J70" s="212"/>
      <c r="K70" s="228" t="str">
        <f t="shared" si="10"/>
        <v/>
      </c>
      <c r="L70" s="211"/>
      <c r="M70" s="228" t="str">
        <f t="shared" si="11"/>
        <v/>
      </c>
      <c r="N70" s="212"/>
      <c r="O70" s="228" t="str">
        <f t="shared" si="12"/>
        <v/>
      </c>
      <c r="P70" s="212"/>
      <c r="Q70" s="228" t="str">
        <f t="shared" si="13"/>
        <v/>
      </c>
      <c r="R70" s="212"/>
      <c r="S70" s="228" t="str">
        <f t="shared" si="14"/>
        <v/>
      </c>
      <c r="T70" s="212"/>
      <c r="U70" s="228" t="str">
        <f t="shared" si="15"/>
        <v/>
      </c>
    </row>
    <row r="71" spans="6:21" s="179" customFormat="1" ht="12">
      <c r="F71" s="211"/>
      <c r="G71" s="228" t="str">
        <f t="shared" ref="G71:G102" si="16">IFERROR(RANK(F71,F$7:F$102),"")</f>
        <v/>
      </c>
      <c r="H71" s="212"/>
      <c r="I71" s="228" t="str">
        <f t="shared" ref="I71:I102" si="17">IFERROR(RANK(H71,H$7:H$102),"")</f>
        <v/>
      </c>
      <c r="J71" s="212"/>
      <c r="K71" s="228" t="str">
        <f t="shared" ref="K71:K102" si="18">IFERROR(RANK(J71,J$7:J$102),"")</f>
        <v/>
      </c>
      <c r="L71" s="211"/>
      <c r="M71" s="228" t="str">
        <f t="shared" ref="M71:M102" si="19">IFERROR(RANK(L71,L$7:L$102),"")</f>
        <v/>
      </c>
      <c r="N71" s="212"/>
      <c r="O71" s="228" t="str">
        <f t="shared" ref="O71:O102" si="20">IFERROR(IF(F71&gt;0,RANK(N71,N$7:N$102,1),""),"")</f>
        <v/>
      </c>
      <c r="P71" s="212"/>
      <c r="Q71" s="228" t="str">
        <f t="shared" ref="Q71:Q102" si="21">IFERROR(RANK(P71,P$7:P$102),"")</f>
        <v/>
      </c>
      <c r="R71" s="212"/>
      <c r="S71" s="228" t="str">
        <f t="shared" ref="S71:S102" si="22">IFERROR(IF(F71&gt;0,RANK(R71,R$7:R$102,0),""),"")</f>
        <v/>
      </c>
      <c r="T71" s="212"/>
      <c r="U71" s="228" t="str">
        <f t="shared" ref="U71:U102" si="23">IFERROR(IF(F71&gt;0,RANK(T71,T$7:T$102,0),""),"")</f>
        <v/>
      </c>
    </row>
    <row r="72" spans="6:21" s="179" customFormat="1" ht="12">
      <c r="F72" s="211"/>
      <c r="G72" s="228" t="str">
        <f t="shared" si="16"/>
        <v/>
      </c>
      <c r="H72" s="212"/>
      <c r="I72" s="228" t="str">
        <f t="shared" si="17"/>
        <v/>
      </c>
      <c r="J72" s="212"/>
      <c r="K72" s="228" t="str">
        <f t="shared" si="18"/>
        <v/>
      </c>
      <c r="L72" s="211"/>
      <c r="M72" s="228" t="str">
        <f t="shared" si="19"/>
        <v/>
      </c>
      <c r="N72" s="212"/>
      <c r="O72" s="228" t="str">
        <f t="shared" si="20"/>
        <v/>
      </c>
      <c r="P72" s="212"/>
      <c r="Q72" s="228" t="str">
        <f t="shared" si="21"/>
        <v/>
      </c>
      <c r="R72" s="212"/>
      <c r="S72" s="228" t="str">
        <f t="shared" si="22"/>
        <v/>
      </c>
      <c r="T72" s="212"/>
      <c r="U72" s="228" t="str">
        <f t="shared" si="23"/>
        <v/>
      </c>
    </row>
    <row r="73" spans="6:21" s="179" customFormat="1" ht="12">
      <c r="F73" s="211"/>
      <c r="G73" s="228" t="str">
        <f t="shared" si="16"/>
        <v/>
      </c>
      <c r="H73" s="212"/>
      <c r="I73" s="228" t="str">
        <f t="shared" si="17"/>
        <v/>
      </c>
      <c r="J73" s="212"/>
      <c r="K73" s="228" t="str">
        <f t="shared" si="18"/>
        <v/>
      </c>
      <c r="L73" s="211"/>
      <c r="M73" s="228" t="str">
        <f t="shared" si="19"/>
        <v/>
      </c>
      <c r="N73" s="212"/>
      <c r="O73" s="228" t="str">
        <f t="shared" si="20"/>
        <v/>
      </c>
      <c r="P73" s="212"/>
      <c r="Q73" s="228" t="str">
        <f t="shared" si="21"/>
        <v/>
      </c>
      <c r="R73" s="212"/>
      <c r="S73" s="228" t="str">
        <f t="shared" si="22"/>
        <v/>
      </c>
      <c r="T73" s="212"/>
      <c r="U73" s="228" t="str">
        <f t="shared" si="23"/>
        <v/>
      </c>
    </row>
    <row r="74" spans="6:21" s="179" customFormat="1" ht="12">
      <c r="F74" s="211"/>
      <c r="G74" s="228" t="str">
        <f t="shared" si="16"/>
        <v/>
      </c>
      <c r="H74" s="212"/>
      <c r="I74" s="228" t="str">
        <f t="shared" si="17"/>
        <v/>
      </c>
      <c r="J74" s="212"/>
      <c r="K74" s="228" t="str">
        <f t="shared" si="18"/>
        <v/>
      </c>
      <c r="L74" s="211"/>
      <c r="M74" s="228" t="str">
        <f t="shared" si="19"/>
        <v/>
      </c>
      <c r="N74" s="212"/>
      <c r="O74" s="228" t="str">
        <f t="shared" si="20"/>
        <v/>
      </c>
      <c r="P74" s="212"/>
      <c r="Q74" s="228" t="str">
        <f t="shared" si="21"/>
        <v/>
      </c>
      <c r="R74" s="212"/>
      <c r="S74" s="228" t="str">
        <f t="shared" si="22"/>
        <v/>
      </c>
      <c r="T74" s="212"/>
      <c r="U74" s="228" t="str">
        <f t="shared" si="23"/>
        <v/>
      </c>
    </row>
    <row r="75" spans="6:21" s="179" customFormat="1" ht="12">
      <c r="F75" s="211"/>
      <c r="G75" s="228" t="str">
        <f t="shared" si="16"/>
        <v/>
      </c>
      <c r="H75" s="212"/>
      <c r="I75" s="228" t="str">
        <f t="shared" si="17"/>
        <v/>
      </c>
      <c r="J75" s="212"/>
      <c r="K75" s="228" t="str">
        <f t="shared" si="18"/>
        <v/>
      </c>
      <c r="L75" s="211"/>
      <c r="M75" s="228" t="str">
        <f t="shared" si="19"/>
        <v/>
      </c>
      <c r="N75" s="212"/>
      <c r="O75" s="228" t="str">
        <f t="shared" si="20"/>
        <v/>
      </c>
      <c r="P75" s="212"/>
      <c r="Q75" s="228" t="str">
        <f t="shared" si="21"/>
        <v/>
      </c>
      <c r="R75" s="212"/>
      <c r="S75" s="228" t="str">
        <f t="shared" si="22"/>
        <v/>
      </c>
      <c r="T75" s="212"/>
      <c r="U75" s="228" t="str">
        <f t="shared" si="23"/>
        <v/>
      </c>
    </row>
    <row r="76" spans="6:21" s="179" customFormat="1" ht="12">
      <c r="F76" s="211"/>
      <c r="G76" s="228" t="str">
        <f t="shared" si="16"/>
        <v/>
      </c>
      <c r="H76" s="212"/>
      <c r="I76" s="228" t="str">
        <f t="shared" si="17"/>
        <v/>
      </c>
      <c r="J76" s="212"/>
      <c r="K76" s="228" t="str">
        <f t="shared" si="18"/>
        <v/>
      </c>
      <c r="L76" s="211"/>
      <c r="M76" s="228" t="str">
        <f t="shared" si="19"/>
        <v/>
      </c>
      <c r="N76" s="212"/>
      <c r="O76" s="228" t="str">
        <f t="shared" si="20"/>
        <v/>
      </c>
      <c r="P76" s="212"/>
      <c r="Q76" s="228" t="str">
        <f t="shared" si="21"/>
        <v/>
      </c>
      <c r="R76" s="212"/>
      <c r="S76" s="228" t="str">
        <f t="shared" si="22"/>
        <v/>
      </c>
      <c r="T76" s="212"/>
      <c r="U76" s="228" t="str">
        <f t="shared" si="23"/>
        <v/>
      </c>
    </row>
    <row r="77" spans="6:21" s="179" customFormat="1" ht="12">
      <c r="F77" s="211"/>
      <c r="G77" s="228" t="str">
        <f t="shared" si="16"/>
        <v/>
      </c>
      <c r="H77" s="212"/>
      <c r="I77" s="228" t="str">
        <f t="shared" si="17"/>
        <v/>
      </c>
      <c r="J77" s="212"/>
      <c r="K77" s="228" t="str">
        <f t="shared" si="18"/>
        <v/>
      </c>
      <c r="L77" s="211"/>
      <c r="M77" s="228" t="str">
        <f t="shared" si="19"/>
        <v/>
      </c>
      <c r="N77" s="212"/>
      <c r="O77" s="228" t="str">
        <f t="shared" si="20"/>
        <v/>
      </c>
      <c r="P77" s="212"/>
      <c r="Q77" s="228" t="str">
        <f t="shared" si="21"/>
        <v/>
      </c>
      <c r="R77" s="212"/>
      <c r="S77" s="228" t="str">
        <f t="shared" si="22"/>
        <v/>
      </c>
      <c r="T77" s="212"/>
      <c r="U77" s="228" t="str">
        <f t="shared" si="23"/>
        <v/>
      </c>
    </row>
    <row r="78" spans="6:21" s="179" customFormat="1" ht="12">
      <c r="F78" s="211"/>
      <c r="G78" s="228" t="str">
        <f t="shared" si="16"/>
        <v/>
      </c>
      <c r="H78" s="212"/>
      <c r="I78" s="228" t="str">
        <f t="shared" si="17"/>
        <v/>
      </c>
      <c r="J78" s="212"/>
      <c r="K78" s="228" t="str">
        <f t="shared" si="18"/>
        <v/>
      </c>
      <c r="L78" s="211"/>
      <c r="M78" s="228" t="str">
        <f t="shared" si="19"/>
        <v/>
      </c>
      <c r="N78" s="212"/>
      <c r="O78" s="228" t="str">
        <f t="shared" si="20"/>
        <v/>
      </c>
      <c r="P78" s="212"/>
      <c r="Q78" s="228" t="str">
        <f t="shared" si="21"/>
        <v/>
      </c>
      <c r="R78" s="212"/>
      <c r="S78" s="228" t="str">
        <f t="shared" si="22"/>
        <v/>
      </c>
      <c r="T78" s="212"/>
      <c r="U78" s="228" t="str">
        <f t="shared" si="23"/>
        <v/>
      </c>
    </row>
    <row r="79" spans="6:21" s="179" customFormat="1" ht="12">
      <c r="F79" s="211"/>
      <c r="G79" s="228" t="str">
        <f t="shared" si="16"/>
        <v/>
      </c>
      <c r="H79" s="212"/>
      <c r="I79" s="228" t="str">
        <f t="shared" si="17"/>
        <v/>
      </c>
      <c r="J79" s="212"/>
      <c r="K79" s="228" t="str">
        <f t="shared" si="18"/>
        <v/>
      </c>
      <c r="L79" s="211"/>
      <c r="M79" s="228" t="str">
        <f t="shared" si="19"/>
        <v/>
      </c>
      <c r="N79" s="212"/>
      <c r="O79" s="228" t="str">
        <f t="shared" si="20"/>
        <v/>
      </c>
      <c r="P79" s="212"/>
      <c r="Q79" s="228" t="str">
        <f t="shared" si="21"/>
        <v/>
      </c>
      <c r="R79" s="212"/>
      <c r="S79" s="228" t="str">
        <f t="shared" si="22"/>
        <v/>
      </c>
      <c r="T79" s="212"/>
      <c r="U79" s="228" t="str">
        <f t="shared" si="23"/>
        <v/>
      </c>
    </row>
    <row r="80" spans="6:21" s="179" customFormat="1" ht="12">
      <c r="F80" s="211"/>
      <c r="G80" s="228" t="str">
        <f t="shared" si="16"/>
        <v/>
      </c>
      <c r="H80" s="212"/>
      <c r="I80" s="228" t="str">
        <f t="shared" si="17"/>
        <v/>
      </c>
      <c r="J80" s="212"/>
      <c r="K80" s="228" t="str">
        <f t="shared" si="18"/>
        <v/>
      </c>
      <c r="L80" s="211"/>
      <c r="M80" s="228" t="str">
        <f t="shared" si="19"/>
        <v/>
      </c>
      <c r="N80" s="212"/>
      <c r="O80" s="228" t="str">
        <f t="shared" si="20"/>
        <v/>
      </c>
      <c r="P80" s="212"/>
      <c r="Q80" s="228" t="str">
        <f t="shared" si="21"/>
        <v/>
      </c>
      <c r="R80" s="212"/>
      <c r="S80" s="228" t="str">
        <f t="shared" si="22"/>
        <v/>
      </c>
      <c r="T80" s="212"/>
      <c r="U80" s="228" t="str">
        <f t="shared" si="23"/>
        <v/>
      </c>
    </row>
    <row r="81" spans="6:21" s="179" customFormat="1" ht="12">
      <c r="F81" s="211"/>
      <c r="G81" s="228" t="str">
        <f t="shared" si="16"/>
        <v/>
      </c>
      <c r="H81" s="212"/>
      <c r="I81" s="228" t="str">
        <f t="shared" si="17"/>
        <v/>
      </c>
      <c r="J81" s="212"/>
      <c r="K81" s="228" t="str">
        <f t="shared" si="18"/>
        <v/>
      </c>
      <c r="L81" s="211"/>
      <c r="M81" s="228" t="str">
        <f t="shared" si="19"/>
        <v/>
      </c>
      <c r="N81" s="212"/>
      <c r="O81" s="228" t="str">
        <f t="shared" si="20"/>
        <v/>
      </c>
      <c r="P81" s="212"/>
      <c r="Q81" s="228" t="str">
        <f t="shared" si="21"/>
        <v/>
      </c>
      <c r="R81" s="212"/>
      <c r="S81" s="228" t="str">
        <f t="shared" si="22"/>
        <v/>
      </c>
      <c r="T81" s="212"/>
      <c r="U81" s="228" t="str">
        <f t="shared" si="23"/>
        <v/>
      </c>
    </row>
    <row r="82" spans="6:21" s="179" customFormat="1" ht="12">
      <c r="F82" s="211"/>
      <c r="G82" s="228" t="str">
        <f t="shared" si="16"/>
        <v/>
      </c>
      <c r="H82" s="212"/>
      <c r="I82" s="228" t="str">
        <f t="shared" si="17"/>
        <v/>
      </c>
      <c r="J82" s="212"/>
      <c r="K82" s="228" t="str">
        <f t="shared" si="18"/>
        <v/>
      </c>
      <c r="L82" s="211"/>
      <c r="M82" s="228" t="str">
        <f t="shared" si="19"/>
        <v/>
      </c>
      <c r="N82" s="212"/>
      <c r="O82" s="228" t="str">
        <f t="shared" si="20"/>
        <v/>
      </c>
      <c r="P82" s="212"/>
      <c r="Q82" s="228" t="str">
        <f t="shared" si="21"/>
        <v/>
      </c>
      <c r="R82" s="212"/>
      <c r="S82" s="228" t="str">
        <f t="shared" si="22"/>
        <v/>
      </c>
      <c r="T82" s="212"/>
      <c r="U82" s="228" t="str">
        <f t="shared" si="23"/>
        <v/>
      </c>
    </row>
    <row r="83" spans="6:21" s="179" customFormat="1" ht="12">
      <c r="F83" s="211"/>
      <c r="G83" s="228" t="str">
        <f t="shared" si="16"/>
        <v/>
      </c>
      <c r="H83" s="212"/>
      <c r="I83" s="228" t="str">
        <f t="shared" si="17"/>
        <v/>
      </c>
      <c r="J83" s="212"/>
      <c r="K83" s="228" t="str">
        <f t="shared" si="18"/>
        <v/>
      </c>
      <c r="L83" s="211"/>
      <c r="M83" s="228" t="str">
        <f t="shared" si="19"/>
        <v/>
      </c>
      <c r="N83" s="212"/>
      <c r="O83" s="228" t="str">
        <f t="shared" si="20"/>
        <v/>
      </c>
      <c r="P83" s="212"/>
      <c r="Q83" s="228" t="str">
        <f t="shared" si="21"/>
        <v/>
      </c>
      <c r="R83" s="212"/>
      <c r="S83" s="228" t="str">
        <f t="shared" si="22"/>
        <v/>
      </c>
      <c r="T83" s="212"/>
      <c r="U83" s="228" t="str">
        <f t="shared" si="23"/>
        <v/>
      </c>
    </row>
    <row r="84" spans="6:21" s="179" customFormat="1" ht="12">
      <c r="F84" s="211"/>
      <c r="G84" s="228" t="str">
        <f t="shared" si="16"/>
        <v/>
      </c>
      <c r="H84" s="212"/>
      <c r="I84" s="228" t="str">
        <f t="shared" si="17"/>
        <v/>
      </c>
      <c r="J84" s="212"/>
      <c r="K84" s="228" t="str">
        <f t="shared" si="18"/>
        <v/>
      </c>
      <c r="L84" s="211"/>
      <c r="M84" s="228" t="str">
        <f t="shared" si="19"/>
        <v/>
      </c>
      <c r="N84" s="212"/>
      <c r="O84" s="228" t="str">
        <f t="shared" si="20"/>
        <v/>
      </c>
      <c r="P84" s="212"/>
      <c r="Q84" s="228" t="str">
        <f t="shared" si="21"/>
        <v/>
      </c>
      <c r="R84" s="212"/>
      <c r="S84" s="228" t="str">
        <f t="shared" si="22"/>
        <v/>
      </c>
      <c r="T84" s="212"/>
      <c r="U84" s="228" t="str">
        <f t="shared" si="23"/>
        <v/>
      </c>
    </row>
    <row r="85" spans="6:21" s="179" customFormat="1" ht="12">
      <c r="F85" s="211"/>
      <c r="G85" s="228" t="str">
        <f t="shared" si="16"/>
        <v/>
      </c>
      <c r="H85" s="212"/>
      <c r="I85" s="228" t="str">
        <f t="shared" si="17"/>
        <v/>
      </c>
      <c r="J85" s="212"/>
      <c r="K85" s="228" t="str">
        <f t="shared" si="18"/>
        <v/>
      </c>
      <c r="L85" s="211"/>
      <c r="M85" s="228" t="str">
        <f t="shared" si="19"/>
        <v/>
      </c>
      <c r="N85" s="212"/>
      <c r="O85" s="228" t="str">
        <f t="shared" si="20"/>
        <v/>
      </c>
      <c r="P85" s="212"/>
      <c r="Q85" s="228" t="str">
        <f t="shared" si="21"/>
        <v/>
      </c>
      <c r="R85" s="212"/>
      <c r="S85" s="228" t="str">
        <f t="shared" si="22"/>
        <v/>
      </c>
      <c r="T85" s="212"/>
      <c r="U85" s="228" t="str">
        <f t="shared" si="23"/>
        <v/>
      </c>
    </row>
    <row r="86" spans="6:21" s="179" customFormat="1" ht="12">
      <c r="F86" s="211"/>
      <c r="G86" s="228" t="str">
        <f t="shared" si="16"/>
        <v/>
      </c>
      <c r="H86" s="212"/>
      <c r="I86" s="228" t="str">
        <f t="shared" si="17"/>
        <v/>
      </c>
      <c r="J86" s="212"/>
      <c r="K86" s="228" t="str">
        <f t="shared" si="18"/>
        <v/>
      </c>
      <c r="L86" s="211"/>
      <c r="M86" s="228" t="str">
        <f t="shared" si="19"/>
        <v/>
      </c>
      <c r="N86" s="212"/>
      <c r="O86" s="228" t="str">
        <f t="shared" si="20"/>
        <v/>
      </c>
      <c r="P86" s="212"/>
      <c r="Q86" s="228" t="str">
        <f t="shared" si="21"/>
        <v/>
      </c>
      <c r="R86" s="212"/>
      <c r="S86" s="228" t="str">
        <f t="shared" si="22"/>
        <v/>
      </c>
      <c r="T86" s="212"/>
      <c r="U86" s="228" t="str">
        <f t="shared" si="23"/>
        <v/>
      </c>
    </row>
    <row r="87" spans="6:21" s="179" customFormat="1" ht="12">
      <c r="F87" s="211"/>
      <c r="G87" s="228" t="str">
        <f t="shared" si="16"/>
        <v/>
      </c>
      <c r="H87" s="212"/>
      <c r="I87" s="228" t="str">
        <f t="shared" si="17"/>
        <v/>
      </c>
      <c r="J87" s="212"/>
      <c r="K87" s="228" t="str">
        <f t="shared" si="18"/>
        <v/>
      </c>
      <c r="L87" s="211"/>
      <c r="M87" s="228" t="str">
        <f t="shared" si="19"/>
        <v/>
      </c>
      <c r="N87" s="212"/>
      <c r="O87" s="228" t="str">
        <f t="shared" si="20"/>
        <v/>
      </c>
      <c r="P87" s="212"/>
      <c r="Q87" s="228" t="str">
        <f t="shared" si="21"/>
        <v/>
      </c>
      <c r="R87" s="212"/>
      <c r="S87" s="228" t="str">
        <f t="shared" si="22"/>
        <v/>
      </c>
      <c r="T87" s="212"/>
      <c r="U87" s="228" t="str">
        <f t="shared" si="23"/>
        <v/>
      </c>
    </row>
    <row r="88" spans="6:21" s="179" customFormat="1" ht="12">
      <c r="F88" s="211"/>
      <c r="G88" s="228" t="str">
        <f t="shared" si="16"/>
        <v/>
      </c>
      <c r="H88" s="212"/>
      <c r="I88" s="228" t="str">
        <f t="shared" si="17"/>
        <v/>
      </c>
      <c r="J88" s="212"/>
      <c r="K88" s="228" t="str">
        <f t="shared" si="18"/>
        <v/>
      </c>
      <c r="L88" s="211"/>
      <c r="M88" s="228" t="str">
        <f t="shared" si="19"/>
        <v/>
      </c>
      <c r="N88" s="212"/>
      <c r="O88" s="228" t="str">
        <f t="shared" si="20"/>
        <v/>
      </c>
      <c r="P88" s="212"/>
      <c r="Q88" s="228" t="str">
        <f t="shared" si="21"/>
        <v/>
      </c>
      <c r="R88" s="212"/>
      <c r="S88" s="228" t="str">
        <f t="shared" si="22"/>
        <v/>
      </c>
      <c r="T88" s="212"/>
      <c r="U88" s="228" t="str">
        <f t="shared" si="23"/>
        <v/>
      </c>
    </row>
    <row r="89" spans="6:21" s="179" customFormat="1" ht="12">
      <c r="F89" s="211"/>
      <c r="G89" s="228" t="str">
        <f t="shared" si="16"/>
        <v/>
      </c>
      <c r="H89" s="212"/>
      <c r="I89" s="228" t="str">
        <f t="shared" si="17"/>
        <v/>
      </c>
      <c r="J89" s="212"/>
      <c r="K89" s="228" t="str">
        <f t="shared" si="18"/>
        <v/>
      </c>
      <c r="L89" s="211"/>
      <c r="M89" s="228" t="str">
        <f t="shared" si="19"/>
        <v/>
      </c>
      <c r="N89" s="212"/>
      <c r="O89" s="228" t="str">
        <f t="shared" si="20"/>
        <v/>
      </c>
      <c r="P89" s="212"/>
      <c r="Q89" s="228" t="str">
        <f t="shared" si="21"/>
        <v/>
      </c>
      <c r="R89" s="212"/>
      <c r="S89" s="228" t="str">
        <f t="shared" si="22"/>
        <v/>
      </c>
      <c r="T89" s="212"/>
      <c r="U89" s="228" t="str">
        <f t="shared" si="23"/>
        <v/>
      </c>
    </row>
    <row r="90" spans="6:21" s="179" customFormat="1" ht="12">
      <c r="F90" s="211"/>
      <c r="G90" s="228" t="str">
        <f t="shared" si="16"/>
        <v/>
      </c>
      <c r="H90" s="212"/>
      <c r="I90" s="228" t="str">
        <f t="shared" si="17"/>
        <v/>
      </c>
      <c r="J90" s="212"/>
      <c r="K90" s="228" t="str">
        <f t="shared" si="18"/>
        <v/>
      </c>
      <c r="L90" s="211"/>
      <c r="M90" s="228" t="str">
        <f t="shared" si="19"/>
        <v/>
      </c>
      <c r="N90" s="212"/>
      <c r="O90" s="228" t="str">
        <f t="shared" si="20"/>
        <v/>
      </c>
      <c r="P90" s="212"/>
      <c r="Q90" s="228" t="str">
        <f t="shared" si="21"/>
        <v/>
      </c>
      <c r="R90" s="212"/>
      <c r="S90" s="228" t="str">
        <f t="shared" si="22"/>
        <v/>
      </c>
      <c r="T90" s="212"/>
      <c r="U90" s="228" t="str">
        <f t="shared" si="23"/>
        <v/>
      </c>
    </row>
    <row r="91" spans="6:21" s="179" customFormat="1" ht="12">
      <c r="F91" s="211"/>
      <c r="G91" s="228" t="str">
        <f t="shared" si="16"/>
        <v/>
      </c>
      <c r="H91" s="212"/>
      <c r="I91" s="228" t="str">
        <f t="shared" si="17"/>
        <v/>
      </c>
      <c r="J91" s="212"/>
      <c r="K91" s="228" t="str">
        <f t="shared" si="18"/>
        <v/>
      </c>
      <c r="L91" s="211"/>
      <c r="M91" s="228" t="str">
        <f t="shared" si="19"/>
        <v/>
      </c>
      <c r="N91" s="212"/>
      <c r="O91" s="228" t="str">
        <f t="shared" si="20"/>
        <v/>
      </c>
      <c r="P91" s="212"/>
      <c r="Q91" s="228" t="str">
        <f t="shared" si="21"/>
        <v/>
      </c>
      <c r="R91" s="212"/>
      <c r="S91" s="228" t="str">
        <f t="shared" si="22"/>
        <v/>
      </c>
      <c r="T91" s="212"/>
      <c r="U91" s="228" t="str">
        <f t="shared" si="23"/>
        <v/>
      </c>
    </row>
    <row r="92" spans="6:21" s="179" customFormat="1" ht="12">
      <c r="F92" s="211"/>
      <c r="G92" s="228" t="str">
        <f t="shared" si="16"/>
        <v/>
      </c>
      <c r="H92" s="212"/>
      <c r="I92" s="228" t="str">
        <f t="shared" si="17"/>
        <v/>
      </c>
      <c r="J92" s="212"/>
      <c r="K92" s="228" t="str">
        <f t="shared" si="18"/>
        <v/>
      </c>
      <c r="L92" s="211"/>
      <c r="M92" s="228" t="str">
        <f t="shared" si="19"/>
        <v/>
      </c>
      <c r="N92" s="212"/>
      <c r="O92" s="228" t="str">
        <f t="shared" si="20"/>
        <v/>
      </c>
      <c r="P92" s="212"/>
      <c r="Q92" s="228" t="str">
        <f t="shared" si="21"/>
        <v/>
      </c>
      <c r="R92" s="212"/>
      <c r="S92" s="228" t="str">
        <f t="shared" si="22"/>
        <v/>
      </c>
      <c r="T92" s="212"/>
      <c r="U92" s="228" t="str">
        <f t="shared" si="23"/>
        <v/>
      </c>
    </row>
    <row r="93" spans="6:21" s="179" customFormat="1" ht="12">
      <c r="F93" s="211"/>
      <c r="G93" s="228" t="str">
        <f t="shared" si="16"/>
        <v/>
      </c>
      <c r="H93" s="212"/>
      <c r="I93" s="228" t="str">
        <f t="shared" si="17"/>
        <v/>
      </c>
      <c r="J93" s="212"/>
      <c r="K93" s="228" t="str">
        <f t="shared" si="18"/>
        <v/>
      </c>
      <c r="L93" s="211"/>
      <c r="M93" s="228" t="str">
        <f t="shared" si="19"/>
        <v/>
      </c>
      <c r="N93" s="212"/>
      <c r="O93" s="228" t="str">
        <f t="shared" si="20"/>
        <v/>
      </c>
      <c r="P93" s="212"/>
      <c r="Q93" s="228" t="str">
        <f t="shared" si="21"/>
        <v/>
      </c>
      <c r="R93" s="212"/>
      <c r="S93" s="228" t="str">
        <f t="shared" si="22"/>
        <v/>
      </c>
      <c r="T93" s="212"/>
      <c r="U93" s="228" t="str">
        <f t="shared" si="23"/>
        <v/>
      </c>
    </row>
    <row r="94" spans="6:21" s="179" customFormat="1" ht="12">
      <c r="F94" s="211"/>
      <c r="G94" s="228" t="str">
        <f t="shared" si="16"/>
        <v/>
      </c>
      <c r="H94" s="212"/>
      <c r="I94" s="228" t="str">
        <f t="shared" si="17"/>
        <v/>
      </c>
      <c r="J94" s="212"/>
      <c r="K94" s="228" t="str">
        <f t="shared" si="18"/>
        <v/>
      </c>
      <c r="L94" s="211"/>
      <c r="M94" s="228" t="str">
        <f t="shared" si="19"/>
        <v/>
      </c>
      <c r="N94" s="212"/>
      <c r="O94" s="228" t="str">
        <f t="shared" si="20"/>
        <v/>
      </c>
      <c r="P94" s="212"/>
      <c r="Q94" s="228" t="str">
        <f t="shared" si="21"/>
        <v/>
      </c>
      <c r="R94" s="212"/>
      <c r="S94" s="228" t="str">
        <f t="shared" si="22"/>
        <v/>
      </c>
      <c r="T94" s="212"/>
      <c r="U94" s="228" t="str">
        <f t="shared" si="23"/>
        <v/>
      </c>
    </row>
    <row r="95" spans="6:21" s="179" customFormat="1" ht="12">
      <c r="F95" s="211"/>
      <c r="G95" s="228" t="str">
        <f t="shared" si="16"/>
        <v/>
      </c>
      <c r="H95" s="212"/>
      <c r="I95" s="228" t="str">
        <f t="shared" si="17"/>
        <v/>
      </c>
      <c r="J95" s="212"/>
      <c r="K95" s="228" t="str">
        <f t="shared" si="18"/>
        <v/>
      </c>
      <c r="L95" s="211"/>
      <c r="M95" s="228" t="str">
        <f t="shared" si="19"/>
        <v/>
      </c>
      <c r="N95" s="212"/>
      <c r="O95" s="228" t="str">
        <f t="shared" si="20"/>
        <v/>
      </c>
      <c r="P95" s="212"/>
      <c r="Q95" s="228" t="str">
        <f t="shared" si="21"/>
        <v/>
      </c>
      <c r="R95" s="212"/>
      <c r="S95" s="228" t="str">
        <f t="shared" si="22"/>
        <v/>
      </c>
      <c r="T95" s="212"/>
      <c r="U95" s="228" t="str">
        <f t="shared" si="23"/>
        <v/>
      </c>
    </row>
    <row r="96" spans="6:21" s="179" customFormat="1" ht="12">
      <c r="F96" s="211"/>
      <c r="G96" s="228" t="str">
        <f t="shared" si="16"/>
        <v/>
      </c>
      <c r="H96" s="212"/>
      <c r="I96" s="228" t="str">
        <f t="shared" si="17"/>
        <v/>
      </c>
      <c r="J96" s="212"/>
      <c r="K96" s="228" t="str">
        <f t="shared" si="18"/>
        <v/>
      </c>
      <c r="L96" s="211"/>
      <c r="M96" s="228" t="str">
        <f t="shared" si="19"/>
        <v/>
      </c>
      <c r="N96" s="212"/>
      <c r="O96" s="228" t="str">
        <f t="shared" si="20"/>
        <v/>
      </c>
      <c r="P96" s="212"/>
      <c r="Q96" s="228" t="str">
        <f t="shared" si="21"/>
        <v/>
      </c>
      <c r="R96" s="212"/>
      <c r="S96" s="228" t="str">
        <f t="shared" si="22"/>
        <v/>
      </c>
      <c r="T96" s="212"/>
      <c r="U96" s="228" t="str">
        <f t="shared" si="23"/>
        <v/>
      </c>
    </row>
    <row r="97" spans="6:21" s="179" customFormat="1" ht="12">
      <c r="F97" s="211"/>
      <c r="G97" s="228" t="str">
        <f t="shared" si="16"/>
        <v/>
      </c>
      <c r="H97" s="212"/>
      <c r="I97" s="228" t="str">
        <f t="shared" si="17"/>
        <v/>
      </c>
      <c r="J97" s="212"/>
      <c r="K97" s="228" t="str">
        <f t="shared" si="18"/>
        <v/>
      </c>
      <c r="L97" s="211"/>
      <c r="M97" s="228" t="str">
        <f t="shared" si="19"/>
        <v/>
      </c>
      <c r="N97" s="212"/>
      <c r="O97" s="228" t="str">
        <f t="shared" si="20"/>
        <v/>
      </c>
      <c r="P97" s="212"/>
      <c r="Q97" s="228" t="str">
        <f t="shared" si="21"/>
        <v/>
      </c>
      <c r="R97" s="212"/>
      <c r="S97" s="228" t="str">
        <f t="shared" si="22"/>
        <v/>
      </c>
      <c r="T97" s="212"/>
      <c r="U97" s="228" t="str">
        <f t="shared" si="23"/>
        <v/>
      </c>
    </row>
    <row r="98" spans="6:21" s="179" customFormat="1" ht="12">
      <c r="F98" s="211"/>
      <c r="G98" s="228" t="str">
        <f t="shared" si="16"/>
        <v/>
      </c>
      <c r="H98" s="212"/>
      <c r="I98" s="228" t="str">
        <f t="shared" si="17"/>
        <v/>
      </c>
      <c r="J98" s="212"/>
      <c r="K98" s="228" t="str">
        <f t="shared" si="18"/>
        <v/>
      </c>
      <c r="L98" s="211"/>
      <c r="M98" s="228" t="str">
        <f t="shared" si="19"/>
        <v/>
      </c>
      <c r="N98" s="212"/>
      <c r="O98" s="228" t="str">
        <f t="shared" si="20"/>
        <v/>
      </c>
      <c r="P98" s="212"/>
      <c r="Q98" s="228" t="str">
        <f t="shared" si="21"/>
        <v/>
      </c>
      <c r="R98" s="212"/>
      <c r="S98" s="228" t="str">
        <f t="shared" si="22"/>
        <v/>
      </c>
      <c r="T98" s="212"/>
      <c r="U98" s="228" t="str">
        <f t="shared" si="23"/>
        <v/>
      </c>
    </row>
    <row r="99" spans="6:21" s="179" customFormat="1" ht="12">
      <c r="F99" s="211"/>
      <c r="G99" s="228" t="str">
        <f t="shared" si="16"/>
        <v/>
      </c>
      <c r="H99" s="212"/>
      <c r="I99" s="228" t="str">
        <f t="shared" si="17"/>
        <v/>
      </c>
      <c r="J99" s="212"/>
      <c r="K99" s="228" t="str">
        <f t="shared" si="18"/>
        <v/>
      </c>
      <c r="L99" s="211"/>
      <c r="M99" s="228" t="str">
        <f t="shared" si="19"/>
        <v/>
      </c>
      <c r="N99" s="212"/>
      <c r="O99" s="228" t="str">
        <f t="shared" si="20"/>
        <v/>
      </c>
      <c r="P99" s="212"/>
      <c r="Q99" s="228" t="str">
        <f t="shared" si="21"/>
        <v/>
      </c>
      <c r="R99" s="212"/>
      <c r="S99" s="228" t="str">
        <f t="shared" si="22"/>
        <v/>
      </c>
      <c r="T99" s="212"/>
      <c r="U99" s="228" t="str">
        <f t="shared" si="23"/>
        <v/>
      </c>
    </row>
    <row r="100" spans="6:21" s="179" customFormat="1" ht="12">
      <c r="F100" s="211"/>
      <c r="G100" s="228" t="str">
        <f t="shared" si="16"/>
        <v/>
      </c>
      <c r="H100" s="212"/>
      <c r="I100" s="228" t="str">
        <f t="shared" si="17"/>
        <v/>
      </c>
      <c r="J100" s="212"/>
      <c r="K100" s="228" t="str">
        <f t="shared" si="18"/>
        <v/>
      </c>
      <c r="L100" s="211"/>
      <c r="M100" s="228" t="str">
        <f t="shared" si="19"/>
        <v/>
      </c>
      <c r="N100" s="212"/>
      <c r="O100" s="228" t="str">
        <f t="shared" si="20"/>
        <v/>
      </c>
      <c r="P100" s="212"/>
      <c r="Q100" s="228" t="str">
        <f t="shared" si="21"/>
        <v/>
      </c>
      <c r="R100" s="212"/>
      <c r="S100" s="228" t="str">
        <f t="shared" si="22"/>
        <v/>
      </c>
      <c r="T100" s="212"/>
      <c r="U100" s="228" t="str">
        <f t="shared" si="23"/>
        <v/>
      </c>
    </row>
    <row r="101" spans="6:21" s="179" customFormat="1" ht="12">
      <c r="F101" s="211"/>
      <c r="G101" s="228" t="str">
        <f t="shared" si="16"/>
        <v/>
      </c>
      <c r="H101" s="212"/>
      <c r="I101" s="228" t="str">
        <f t="shared" si="17"/>
        <v/>
      </c>
      <c r="J101" s="212"/>
      <c r="K101" s="228" t="str">
        <f t="shared" si="18"/>
        <v/>
      </c>
      <c r="L101" s="211"/>
      <c r="M101" s="228" t="str">
        <f t="shared" si="19"/>
        <v/>
      </c>
      <c r="N101" s="212"/>
      <c r="O101" s="228" t="str">
        <f t="shared" si="20"/>
        <v/>
      </c>
      <c r="P101" s="212"/>
      <c r="Q101" s="228" t="str">
        <f t="shared" si="21"/>
        <v/>
      </c>
      <c r="R101" s="212"/>
      <c r="S101" s="228" t="str">
        <f t="shared" si="22"/>
        <v/>
      </c>
      <c r="T101" s="212"/>
      <c r="U101" s="228" t="str">
        <f t="shared" si="23"/>
        <v/>
      </c>
    </row>
    <row r="102" spans="6:21" s="179" customFormat="1" ht="12">
      <c r="F102" s="211"/>
      <c r="G102" s="228" t="str">
        <f t="shared" si="16"/>
        <v/>
      </c>
      <c r="H102" s="212"/>
      <c r="I102" s="228" t="str">
        <f t="shared" si="17"/>
        <v/>
      </c>
      <c r="J102" s="212"/>
      <c r="K102" s="228" t="str">
        <f t="shared" si="18"/>
        <v/>
      </c>
      <c r="L102" s="211"/>
      <c r="M102" s="228" t="str">
        <f t="shared" si="19"/>
        <v/>
      </c>
      <c r="N102" s="212"/>
      <c r="O102" s="228" t="str">
        <f t="shared" si="20"/>
        <v/>
      </c>
      <c r="P102" s="212"/>
      <c r="Q102" s="228" t="str">
        <f t="shared" si="21"/>
        <v/>
      </c>
      <c r="R102" s="212"/>
      <c r="S102" s="228" t="str">
        <f t="shared" si="22"/>
        <v/>
      </c>
      <c r="T102" s="212"/>
      <c r="U102" s="228" t="str">
        <f t="shared" si="23"/>
        <v/>
      </c>
    </row>
    <row r="103" spans="6:21" s="179" customFormat="1" ht="12">
      <c r="F103" s="211"/>
      <c r="G103" s="228" t="str">
        <f>IFERROR(RANK(F103,F$7:F$102),"")</f>
        <v/>
      </c>
      <c r="H103" s="212"/>
      <c r="I103" s="228" t="str">
        <f>IFERROR(RANK(H103,H$7:H$102),"")</f>
        <v/>
      </c>
      <c r="J103" s="212"/>
      <c r="K103" s="228" t="str">
        <f>IFERROR(RANK(J103,J$7:J$102),"")</f>
        <v/>
      </c>
      <c r="L103" s="211"/>
      <c r="M103" s="228" t="str">
        <f>IFERROR(RANK(L103,L$7:L$102),"")</f>
        <v/>
      </c>
      <c r="N103" s="212"/>
      <c r="O103" s="228" t="str">
        <f>IFERROR(IF(F103&gt;0,RANK(N103,N$7:N$102,1),""),"")</f>
        <v/>
      </c>
      <c r="P103" s="212"/>
      <c r="Q103" s="228" t="str">
        <f>IFERROR(RANK(P103,P$7:P$102),"")</f>
        <v/>
      </c>
      <c r="R103" s="212"/>
      <c r="S103" s="228" t="str">
        <f>IFERROR(IF(F103&gt;0,RANK(R103,R$7:R$102,0),""),"")</f>
        <v/>
      </c>
      <c r="T103" s="212"/>
      <c r="U103" s="228" t="str">
        <f>IFERROR(IF(F103&gt;0,RANK(T103,T$7:T$102,0),""),"")</f>
        <v/>
      </c>
    </row>
  </sheetData>
  <sheetProtection sheet="1" objects="1" scenarios="1"/>
  <sortState ref="C7:U103">
    <sortCondition descending="1" ref="T7:T103"/>
  </sortState>
  <mergeCells count="11">
    <mergeCell ref="C5:D5"/>
    <mergeCell ref="F4:G4"/>
    <mergeCell ref="H4:I4"/>
    <mergeCell ref="J4:K4"/>
    <mergeCell ref="L4:M4"/>
    <mergeCell ref="N4:O4"/>
    <mergeCell ref="P4:Q4"/>
    <mergeCell ref="R4:S4"/>
    <mergeCell ref="T4:U4"/>
    <mergeCell ref="F1:R2"/>
    <mergeCell ref="H3:J3"/>
  </mergeCells>
  <conditionalFormatting sqref="G6">
    <cfRule type="colorScale" priority="24">
      <colorScale>
        <cfvo type="min"/>
        <cfvo type="percentile" val="50"/>
        <cfvo type="max"/>
        <color theme="4" tint="0.79998168889431442"/>
        <color theme="4" tint="0.59999389629810485"/>
        <color theme="4" tint="0.39997558519241921"/>
      </colorScale>
    </cfRule>
  </conditionalFormatting>
  <conditionalFormatting sqref="K6">
    <cfRule type="colorScale" priority="23">
      <colorScale>
        <cfvo type="min"/>
        <cfvo type="percentile" val="50"/>
        <cfvo type="max"/>
        <color theme="4" tint="0.79998168889431442"/>
        <color theme="4" tint="0.59999389629810485"/>
        <color theme="4" tint="0.39997558519241921"/>
      </colorScale>
    </cfRule>
  </conditionalFormatting>
  <conditionalFormatting sqref="M6">
    <cfRule type="colorScale" priority="22">
      <colorScale>
        <cfvo type="min"/>
        <cfvo type="percentile" val="50"/>
        <cfvo type="max"/>
        <color theme="4" tint="0.79998168889431442"/>
        <color theme="4" tint="0.59999389629810485"/>
        <color theme="4" tint="0.39997558519241921"/>
      </colorScale>
    </cfRule>
  </conditionalFormatting>
  <conditionalFormatting sqref="O6">
    <cfRule type="colorScale" priority="21">
      <colorScale>
        <cfvo type="min"/>
        <cfvo type="percentile" val="50"/>
        <cfvo type="max"/>
        <color theme="4" tint="0.79998168889431442"/>
        <color theme="4" tint="0.59999389629810485"/>
        <color theme="4" tint="0.39997558519241921"/>
      </colorScale>
    </cfRule>
  </conditionalFormatting>
  <conditionalFormatting sqref="Q6">
    <cfRule type="colorScale" priority="20">
      <colorScale>
        <cfvo type="min"/>
        <cfvo type="percentile" val="50"/>
        <cfvo type="max"/>
        <color theme="4" tint="0.79998168889431442"/>
        <color theme="4" tint="0.59999389629810485"/>
        <color theme="4" tint="0.39997558519241921"/>
      </colorScale>
    </cfRule>
  </conditionalFormatting>
  <conditionalFormatting sqref="S6">
    <cfRule type="colorScale" priority="19">
      <colorScale>
        <cfvo type="min"/>
        <cfvo type="percentile" val="50"/>
        <cfvo type="max"/>
        <color theme="4" tint="0.79998168889431442"/>
        <color theme="4" tint="0.59999389629810485"/>
        <color theme="4" tint="0.39997558519241921"/>
      </colorScale>
    </cfRule>
  </conditionalFormatting>
  <conditionalFormatting sqref="U6">
    <cfRule type="colorScale" priority="18">
      <colorScale>
        <cfvo type="min"/>
        <cfvo type="percentile" val="50"/>
        <cfvo type="max"/>
        <color theme="4" tint="0.79998168889431442"/>
        <color theme="4" tint="0.59999389629810485"/>
        <color theme="4" tint="0.39997558519241921"/>
      </colorScale>
    </cfRule>
  </conditionalFormatting>
  <conditionalFormatting sqref="I6">
    <cfRule type="colorScale" priority="17">
      <colorScale>
        <cfvo type="min"/>
        <cfvo type="percentile" val="50"/>
        <cfvo type="max"/>
        <color theme="4" tint="0.79998168889431442"/>
        <color theme="4" tint="0.59999389629810485"/>
        <color theme="4" tint="0.39997558519241921"/>
      </colorScale>
    </cfRule>
  </conditionalFormatting>
  <conditionalFormatting sqref="G7:G102">
    <cfRule type="colorScale" priority="16">
      <colorScale>
        <cfvo type="min"/>
        <cfvo type="percentile" val="50"/>
        <cfvo type="max"/>
        <color theme="4" tint="0.79998168889431442"/>
        <color theme="4" tint="0.59999389629810485"/>
        <color theme="4" tint="0.39997558519241921"/>
      </colorScale>
    </cfRule>
  </conditionalFormatting>
  <conditionalFormatting sqref="K7:K102">
    <cfRule type="colorScale" priority="15">
      <colorScale>
        <cfvo type="min"/>
        <cfvo type="percentile" val="50"/>
        <cfvo type="max"/>
        <color theme="4" tint="0.79998168889431442"/>
        <color theme="4" tint="0.59999389629810485"/>
        <color theme="4" tint="0.39997558519241921"/>
      </colorScale>
    </cfRule>
  </conditionalFormatting>
  <conditionalFormatting sqref="M7:M102">
    <cfRule type="colorScale" priority="14">
      <colorScale>
        <cfvo type="min"/>
        <cfvo type="percentile" val="50"/>
        <cfvo type="max"/>
        <color theme="4" tint="0.79998168889431442"/>
        <color theme="4" tint="0.59999389629810485"/>
        <color theme="4" tint="0.39997558519241921"/>
      </colorScale>
    </cfRule>
  </conditionalFormatting>
  <conditionalFormatting sqref="O7:O102">
    <cfRule type="colorScale" priority="13">
      <colorScale>
        <cfvo type="min"/>
        <cfvo type="percentile" val="50"/>
        <cfvo type="max"/>
        <color theme="4" tint="0.79998168889431442"/>
        <color theme="4" tint="0.59999389629810485"/>
        <color theme="4" tint="0.39997558519241921"/>
      </colorScale>
    </cfRule>
  </conditionalFormatting>
  <conditionalFormatting sqref="Q7:Q102">
    <cfRule type="colorScale" priority="12">
      <colorScale>
        <cfvo type="min"/>
        <cfvo type="percentile" val="50"/>
        <cfvo type="max"/>
        <color theme="4" tint="0.79998168889431442"/>
        <color theme="4" tint="0.59999389629810485"/>
        <color theme="4" tint="0.39997558519241921"/>
      </colorScale>
    </cfRule>
  </conditionalFormatting>
  <conditionalFormatting sqref="S7:S102">
    <cfRule type="colorScale" priority="11">
      <colorScale>
        <cfvo type="min"/>
        <cfvo type="percentile" val="50"/>
        <cfvo type="max"/>
        <color theme="4" tint="0.79998168889431442"/>
        <color theme="4" tint="0.59999389629810485"/>
        <color theme="4" tint="0.39997558519241921"/>
      </colorScale>
    </cfRule>
  </conditionalFormatting>
  <conditionalFormatting sqref="U7:U102">
    <cfRule type="colorScale" priority="10">
      <colorScale>
        <cfvo type="min"/>
        <cfvo type="percentile" val="50"/>
        <cfvo type="max"/>
        <color theme="4" tint="0.79998168889431442"/>
        <color theme="4" tint="0.59999389629810485"/>
        <color theme="4" tint="0.39997558519241921"/>
      </colorScale>
    </cfRule>
  </conditionalFormatting>
  <conditionalFormatting sqref="I7:I102">
    <cfRule type="colorScale" priority="9">
      <colorScale>
        <cfvo type="min"/>
        <cfvo type="percentile" val="50"/>
        <cfvo type="max"/>
        <color theme="4" tint="0.79998168889431442"/>
        <color theme="4" tint="0.59999389629810485"/>
        <color theme="4" tint="0.39997558519241921"/>
      </colorScale>
    </cfRule>
  </conditionalFormatting>
  <conditionalFormatting sqref="G103">
    <cfRule type="colorScale" priority="8">
      <colorScale>
        <cfvo type="min"/>
        <cfvo type="percentile" val="50"/>
        <cfvo type="max"/>
        <color theme="4" tint="0.79998168889431442"/>
        <color theme="4" tint="0.59999389629810485"/>
        <color theme="4" tint="0.39997558519241921"/>
      </colorScale>
    </cfRule>
  </conditionalFormatting>
  <conditionalFormatting sqref="K103">
    <cfRule type="colorScale" priority="7">
      <colorScale>
        <cfvo type="min"/>
        <cfvo type="percentile" val="50"/>
        <cfvo type="max"/>
        <color theme="4" tint="0.79998168889431442"/>
        <color theme="4" tint="0.59999389629810485"/>
        <color theme="4" tint="0.39997558519241921"/>
      </colorScale>
    </cfRule>
  </conditionalFormatting>
  <conditionalFormatting sqref="M103">
    <cfRule type="colorScale" priority="6">
      <colorScale>
        <cfvo type="min"/>
        <cfvo type="percentile" val="50"/>
        <cfvo type="max"/>
        <color theme="4" tint="0.79998168889431442"/>
        <color theme="4" tint="0.59999389629810485"/>
        <color theme="4" tint="0.39997558519241921"/>
      </colorScale>
    </cfRule>
  </conditionalFormatting>
  <conditionalFormatting sqref="O103">
    <cfRule type="colorScale" priority="5">
      <colorScale>
        <cfvo type="min"/>
        <cfvo type="percentile" val="50"/>
        <cfvo type="max"/>
        <color theme="4" tint="0.79998168889431442"/>
        <color theme="4" tint="0.59999389629810485"/>
        <color theme="4" tint="0.39997558519241921"/>
      </colorScale>
    </cfRule>
  </conditionalFormatting>
  <conditionalFormatting sqref="Q103">
    <cfRule type="colorScale" priority="4">
      <colorScale>
        <cfvo type="min"/>
        <cfvo type="percentile" val="50"/>
        <cfvo type="max"/>
        <color theme="4" tint="0.79998168889431442"/>
        <color theme="4" tint="0.59999389629810485"/>
        <color theme="4" tint="0.39997558519241921"/>
      </colorScale>
    </cfRule>
  </conditionalFormatting>
  <conditionalFormatting sqref="S103">
    <cfRule type="colorScale" priority="3">
      <colorScale>
        <cfvo type="min"/>
        <cfvo type="percentile" val="50"/>
        <cfvo type="max"/>
        <color theme="4" tint="0.79998168889431442"/>
        <color theme="4" tint="0.59999389629810485"/>
        <color theme="4" tint="0.39997558519241921"/>
      </colorScale>
    </cfRule>
  </conditionalFormatting>
  <conditionalFormatting sqref="U103">
    <cfRule type="colorScale" priority="2">
      <colorScale>
        <cfvo type="min"/>
        <cfvo type="percentile" val="50"/>
        <cfvo type="max"/>
        <color theme="4" tint="0.79998168889431442"/>
        <color theme="4" tint="0.59999389629810485"/>
        <color theme="4" tint="0.39997558519241921"/>
      </colorScale>
    </cfRule>
  </conditionalFormatting>
  <conditionalFormatting sqref="I103">
    <cfRule type="colorScale" priority="1">
      <colorScale>
        <cfvo type="min"/>
        <cfvo type="percentile" val="50"/>
        <cfvo type="max"/>
        <color theme="4" tint="0.79998168889431442"/>
        <color theme="4" tint="0.59999389629810485"/>
        <color theme="4" tint="0.39997558519241921"/>
      </colorScale>
    </cfRule>
  </conditionalFormatting>
  <hyperlinks>
    <hyperlink ref="H3" r:id="rId1"/>
  </hyperlinks>
  <pageMargins left="0.17" right="0.16" top="0.74803149606299213" bottom="0.74803149606299213" header="0.31496062992125984" footer="0.31496062992125984"/>
  <pageSetup paperSize="9" scale="69" fitToHeight="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Spinner 1">
              <controlPr defaultSize="0" autoPict="0" macro="[0]!GetAllStores">
                <anchor moveWithCells="1" sizeWithCells="1">
                  <from>
                    <xdr:col>4</xdr:col>
                    <xdr:colOff>9525</xdr:colOff>
                    <xdr:row>11</xdr:row>
                    <xdr:rowOff>0</xdr:rowOff>
                  </from>
                  <to>
                    <xdr:col>4</xdr:col>
                    <xdr:colOff>219075</xdr:colOff>
                    <xdr:row>11</xdr:row>
                    <xdr:rowOff>0</xdr:rowOff>
                  </to>
                </anchor>
              </controlPr>
            </control>
          </mc:Choice>
        </mc:AlternateContent>
        <mc:AlternateContent xmlns:mc="http://schemas.openxmlformats.org/markup-compatibility/2006">
          <mc:Choice Requires="x14">
            <control shapeId="19458" r:id="rId6" name="Spinner 2">
              <controlPr defaultSize="0" autoPict="0" macro="[0]!GetAllStores_Nær">
                <anchor moveWithCells="1" sizeWithCells="1">
                  <from>
                    <xdr:col>4</xdr:col>
                    <xdr:colOff>19050</xdr:colOff>
                    <xdr:row>0</xdr:row>
                    <xdr:rowOff>285750</xdr:rowOff>
                  </from>
                  <to>
                    <xdr:col>4</xdr:col>
                    <xdr:colOff>228600</xdr:colOff>
                    <xdr:row>2</xdr:row>
                    <xdr:rowOff>9525</xdr:rowOff>
                  </to>
                </anchor>
              </controlPr>
            </control>
          </mc:Choice>
        </mc:AlternateContent>
        <mc:AlternateContent xmlns:mc="http://schemas.openxmlformats.org/markup-compatibility/2006">
          <mc:Choice Requires="x14">
            <control shapeId="19459" r:id="rId7" name="Button 3">
              <controlPr defaultSize="0" print="0" autoFill="0" autoPict="0" macro="[0]!GetAllStores_Nær">
                <anchor moveWithCells="1" sizeWithCells="1">
                  <from>
                    <xdr:col>2</xdr:col>
                    <xdr:colOff>19050</xdr:colOff>
                    <xdr:row>0</xdr:row>
                    <xdr:rowOff>38100</xdr:rowOff>
                  </from>
                  <to>
                    <xdr:col>3</xdr:col>
                    <xdr:colOff>723900</xdr:colOff>
                    <xdr:row>0</xdr:row>
                    <xdr:rowOff>247650</xdr:rowOff>
                  </to>
                </anchor>
              </controlPr>
            </control>
          </mc:Choice>
        </mc:AlternateContent>
        <mc:AlternateContent xmlns:mc="http://schemas.openxmlformats.org/markup-compatibility/2006">
          <mc:Choice Requires="x14">
            <control shapeId="19460" r:id="rId8" name="Button 4">
              <controlPr defaultSize="0" print="0" autoFill="0" autoPict="0" macro="[0]!login">
                <anchor moveWithCells="1" sizeWithCells="1">
                  <from>
                    <xdr:col>3</xdr:col>
                    <xdr:colOff>723900</xdr:colOff>
                    <xdr:row>0</xdr:row>
                    <xdr:rowOff>38100</xdr:rowOff>
                  </from>
                  <to>
                    <xdr:col>4</xdr:col>
                    <xdr:colOff>419100</xdr:colOff>
                    <xdr:row>0</xdr:row>
                    <xdr:rowOff>247650</xdr:rowOff>
                  </to>
                </anchor>
              </controlPr>
            </control>
          </mc:Choice>
        </mc:AlternateContent>
        <mc:AlternateContent xmlns:mc="http://schemas.openxmlformats.org/markup-compatibility/2006">
          <mc:Choice Requires="x14">
            <control shapeId="19463" r:id="rId9" name="Option Button 9">
              <controlPr defaultSize="0" autoFill="0" autoLine="0" autoPict="0" macro="[0]!GetAllStores_Nær">
                <anchor moveWithCells="1">
                  <from>
                    <xdr:col>18</xdr:col>
                    <xdr:colOff>95250</xdr:colOff>
                    <xdr:row>1</xdr:row>
                    <xdr:rowOff>9525</xdr:rowOff>
                  </from>
                  <to>
                    <xdr:col>20</xdr:col>
                    <xdr:colOff>209550</xdr:colOff>
                    <xdr:row>2</xdr:row>
                    <xdr:rowOff>28575</xdr:rowOff>
                  </to>
                </anchor>
              </controlPr>
            </control>
          </mc:Choice>
        </mc:AlternateContent>
        <mc:AlternateContent xmlns:mc="http://schemas.openxmlformats.org/markup-compatibility/2006">
          <mc:Choice Requires="x14">
            <control shapeId="19464" r:id="rId10" name="Option Button 10">
              <controlPr defaultSize="0" autoFill="0" autoLine="0" autoPict="0" macro="[0]!GetAllStores_Nær">
                <anchor moveWithCells="1">
                  <from>
                    <xdr:col>18</xdr:col>
                    <xdr:colOff>95250</xdr:colOff>
                    <xdr:row>0</xdr:row>
                    <xdr:rowOff>152400</xdr:rowOff>
                  </from>
                  <to>
                    <xdr:col>20</xdr:col>
                    <xdr:colOff>209550</xdr:colOff>
                    <xdr:row>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70C0"/>
    <pageSetUpPr fitToPage="1"/>
  </sheetPr>
  <dimension ref="A1:AC103"/>
  <sheetViews>
    <sheetView topLeftCell="C1" zoomScaleNormal="100" workbookViewId="0">
      <pane ySplit="6" topLeftCell="A7" activePane="bottomLeft" state="frozenSplit"/>
      <selection activeCell="C1" sqref="C1"/>
      <selection pane="bottomLeft" activeCell="Y47" sqref="Y47"/>
    </sheetView>
  </sheetViews>
  <sheetFormatPr baseColWidth="10" defaultColWidth="9.140625" defaultRowHeight="15"/>
  <cols>
    <col min="1" max="2" width="0" hidden="1" customWidth="1"/>
    <col min="3" max="3" width="6.85546875" customWidth="1"/>
    <col min="4" max="4" width="20" bestFit="1" customWidth="1"/>
    <col min="5" max="5" width="7" bestFit="1" customWidth="1"/>
    <col min="6" max="6" width="11" style="2" bestFit="1" customWidth="1"/>
    <col min="7" max="7" width="4" style="3" bestFit="1" customWidth="1"/>
    <col min="8" max="8" width="10.5703125" style="10" customWidth="1"/>
    <col min="9" max="9" width="3.28515625" style="3" bestFit="1" customWidth="1"/>
    <col min="10" max="10" width="12.28515625" style="10" bestFit="1" customWidth="1"/>
    <col min="11" max="11" width="2.7109375" style="3" bestFit="1" customWidth="1"/>
    <col min="12" max="12" width="9.42578125" style="2" customWidth="1"/>
    <col min="13" max="13" width="2.7109375" style="3" bestFit="1" customWidth="1"/>
    <col min="14" max="14" width="11.5703125" style="10" bestFit="1" customWidth="1"/>
    <col min="15" max="15" width="3.42578125" style="3" bestFit="1" customWidth="1"/>
    <col min="16" max="16" width="9.140625" style="10"/>
    <col min="17" max="17" width="3.42578125" style="3" bestFit="1" customWidth="1"/>
    <col min="18" max="18" width="9.140625" style="10"/>
    <col min="19" max="19" width="2.7109375" style="3" bestFit="1" customWidth="1"/>
    <col min="20" max="20" width="9.7109375" style="10" bestFit="1" customWidth="1"/>
    <col min="21" max="21" width="3.28515625" style="3" bestFit="1" customWidth="1"/>
  </cols>
  <sheetData>
    <row r="1" spans="1:29" ht="24" customHeight="1">
      <c r="A1" s="80"/>
      <c r="B1" s="77"/>
      <c r="C1" s="79"/>
      <c r="D1" s="79"/>
      <c r="E1" s="81"/>
      <c r="F1" s="903" t="s">
        <v>155</v>
      </c>
      <c r="G1" s="903"/>
      <c r="H1" s="903"/>
      <c r="I1" s="903"/>
      <c r="J1" s="903"/>
      <c r="K1" s="903"/>
      <c r="L1" s="903"/>
      <c r="M1" s="903"/>
      <c r="N1" s="903"/>
      <c r="O1" s="903"/>
      <c r="P1" s="903"/>
      <c r="Q1" s="903"/>
      <c r="R1" s="903"/>
      <c r="S1" s="903"/>
      <c r="T1" s="903"/>
      <c r="U1" s="903"/>
      <c r="V1" s="903"/>
      <c r="W1" s="903"/>
      <c r="X1" s="903"/>
      <c r="Y1" s="903"/>
      <c r="Z1" s="903"/>
      <c r="AA1" s="210"/>
      <c r="AB1" s="210"/>
      <c r="AC1" s="77"/>
    </row>
    <row r="2" spans="1:29" ht="15.75" customHeight="1">
      <c r="C2" s="87" t="s">
        <v>0</v>
      </c>
      <c r="D2" s="88">
        <v>38</v>
      </c>
      <c r="E2" s="77"/>
      <c r="F2" s="903"/>
      <c r="G2" s="903"/>
      <c r="H2" s="903"/>
      <c r="I2" s="903"/>
      <c r="J2" s="903"/>
      <c r="K2" s="903"/>
      <c r="L2" s="903"/>
      <c r="M2" s="903"/>
      <c r="N2" s="903"/>
      <c r="O2" s="903"/>
      <c r="P2" s="903"/>
      <c r="Q2" s="903"/>
      <c r="R2" s="903"/>
      <c r="S2" s="903"/>
      <c r="T2" s="903"/>
      <c r="U2" s="903"/>
      <c r="V2" s="903"/>
      <c r="W2" s="903"/>
      <c r="X2" s="903"/>
      <c r="Y2" s="903"/>
      <c r="Z2" s="903"/>
      <c r="AA2" s="216"/>
      <c r="AB2" s="216"/>
      <c r="AC2" s="77"/>
    </row>
    <row r="3" spans="1:29" ht="13.5" customHeight="1">
      <c r="A3" s="80"/>
      <c r="B3" s="77"/>
      <c r="C3" s="79"/>
      <c r="D3" s="79"/>
      <c r="E3" s="81"/>
      <c r="F3" s="210"/>
      <c r="G3" s="217"/>
      <c r="H3" s="210"/>
      <c r="I3" s="217"/>
      <c r="J3" s="210"/>
      <c r="K3" s="217"/>
      <c r="L3" s="210"/>
      <c r="M3" s="217"/>
      <c r="N3" s="210"/>
      <c r="O3" s="217"/>
      <c r="P3" s="210"/>
      <c r="Q3" s="217"/>
      <c r="R3" s="210"/>
      <c r="S3" s="217"/>
      <c r="T3" s="210"/>
      <c r="U3" s="217"/>
      <c r="V3" s="210"/>
      <c r="W3" s="210"/>
      <c r="X3" s="210"/>
      <c r="Y3" s="210"/>
      <c r="Z3" s="210"/>
      <c r="AA3" s="210"/>
      <c r="AB3" s="210"/>
      <c r="AC3" s="77"/>
    </row>
    <row r="4" spans="1:29" s="226" customFormat="1" ht="12.75">
      <c r="A4" s="224"/>
      <c r="B4" s="224"/>
      <c r="C4" s="225" t="s">
        <v>40</v>
      </c>
      <c r="D4" s="225" t="s">
        <v>41</v>
      </c>
      <c r="E4" s="225"/>
      <c r="F4" s="930" t="s">
        <v>29</v>
      </c>
      <c r="G4" s="931"/>
      <c r="H4" s="932" t="s">
        <v>44</v>
      </c>
      <c r="I4" s="933"/>
      <c r="J4" s="932" t="s">
        <v>5</v>
      </c>
      <c r="K4" s="933"/>
      <c r="L4" s="930" t="s">
        <v>47</v>
      </c>
      <c r="M4" s="931"/>
      <c r="N4" s="932" t="s">
        <v>46</v>
      </c>
      <c r="O4" s="933"/>
      <c r="P4" s="932" t="s">
        <v>6</v>
      </c>
      <c r="Q4" s="933"/>
      <c r="R4" s="932" t="s">
        <v>7</v>
      </c>
      <c r="S4" s="933"/>
      <c r="T4" s="932" t="s">
        <v>50</v>
      </c>
      <c r="U4" s="933"/>
      <c r="V4" s="225"/>
      <c r="W4" s="225"/>
      <c r="X4" s="225"/>
      <c r="Y4" s="225"/>
      <c r="Z4" s="225"/>
      <c r="AA4" s="225"/>
      <c r="AB4" s="225"/>
      <c r="AC4" s="225"/>
    </row>
    <row r="5" spans="1:29" s="223" customFormat="1" ht="24" customHeight="1" thickBot="1">
      <c r="A5" s="220"/>
      <c r="B5" s="220"/>
      <c r="C5" s="924" t="s">
        <v>153</v>
      </c>
      <c r="D5" s="925"/>
      <c r="E5" s="293"/>
      <c r="F5" s="294">
        <f>AVERAGE(F$7:F$100)</f>
        <v>11758440.094999999</v>
      </c>
      <c r="G5" s="295"/>
      <c r="H5" s="296">
        <f>AVERAGE(H$7:H$100)</f>
        <v>0.27557503741312789</v>
      </c>
      <c r="I5" s="295"/>
      <c r="J5" s="296">
        <f>AVERAGE(J$7:J$100)</f>
        <v>-0.12873572289290247</v>
      </c>
      <c r="K5" s="295"/>
      <c r="L5" s="294">
        <f>AVERAGE(L$7:L$100)</f>
        <v>1652.9034509759056</v>
      </c>
      <c r="M5" s="295"/>
      <c r="N5" s="296">
        <f>AVERAGE(N$7:N$100)</f>
        <v>2.7483036961189616E-2</v>
      </c>
      <c r="O5" s="295"/>
      <c r="P5" s="296">
        <f>AVERAGE(P$7:P$100)</f>
        <v>-1.8108253647703E-2</v>
      </c>
      <c r="Q5" s="295"/>
      <c r="R5" s="296">
        <f>AVERAGE(R$7:R$100)</f>
        <v>-5.2772587305080481E-3</v>
      </c>
      <c r="S5" s="295"/>
      <c r="T5" s="296">
        <f>AVERAGE(T$7:T$100)</f>
        <v>0.12345380214201436</v>
      </c>
      <c r="U5" s="295"/>
      <c r="V5" s="295"/>
      <c r="W5" s="295"/>
      <c r="X5" s="295"/>
      <c r="Y5" s="295"/>
      <c r="Z5" s="295"/>
      <c r="AA5" s="295"/>
      <c r="AB5" s="295"/>
      <c r="AC5" s="297"/>
    </row>
    <row r="6" spans="1:29" s="223" customFormat="1" ht="24" customHeight="1" thickTop="1">
      <c r="A6" s="220"/>
      <c r="B6" s="220"/>
      <c r="C6" s="218" t="str">
        <f>sysX!A2</f>
        <v>4301</v>
      </c>
      <c r="D6" s="218" t="str">
        <f>sysX!A4</f>
        <v>BERJASEN</v>
      </c>
      <c r="E6" s="219" t="str">
        <f>sysX!A6</f>
        <v>2019</v>
      </c>
      <c r="F6" s="221" t="e">
        <f>VLOOKUP($C$6,$C$7:$AC$102,4,FALSE)</f>
        <v>#N/A</v>
      </c>
      <c r="G6" s="227" t="str">
        <f>IFERROR(RANK(F6,F$6:F$101),"")</f>
        <v/>
      </c>
      <c r="H6" s="222" t="e">
        <f>VLOOKUP($C$6,$C$7:$AC$102,6,FALSE)</f>
        <v>#N/A</v>
      </c>
      <c r="I6" s="227" t="str">
        <f>IFERROR(RANK(H6,H$6:H$101),"")</f>
        <v/>
      </c>
      <c r="J6" s="222" t="e">
        <f>VLOOKUP($C$6,$C$7:$AC$102,8,FALSE)</f>
        <v>#N/A</v>
      </c>
      <c r="K6" s="227" t="str">
        <f>IFERROR(RANK(J6,J$6:J$101),"")</f>
        <v/>
      </c>
      <c r="L6" s="221" t="e">
        <f>VLOOKUP($C$6,$C$7:$AC$102,10,FALSE)</f>
        <v>#N/A</v>
      </c>
      <c r="M6" s="227" t="str">
        <f>IFERROR(RANK(L6,L$6:L$101),"")</f>
        <v/>
      </c>
      <c r="N6" s="222" t="e">
        <f>VLOOKUP($C$6,$C$7:$AC$102,12,FALSE)</f>
        <v>#N/A</v>
      </c>
      <c r="O6" s="227" t="str">
        <f>IFERROR(RANK(N6,N$6:N$101,1),"")</f>
        <v/>
      </c>
      <c r="P6" s="222" t="e">
        <f>VLOOKUP($C$6,$C$7:$AC$102,14,FALSE)</f>
        <v>#N/A</v>
      </c>
      <c r="Q6" s="227" t="str">
        <f>IFERROR(RANK(P6,P$6:P$101),"")</f>
        <v/>
      </c>
      <c r="R6" s="222" t="e">
        <f>VLOOKUP($C$6,$C$7:$AC$102,16,FALSE)</f>
        <v>#N/A</v>
      </c>
      <c r="S6" s="227" t="str">
        <f>IFERROR(RANK(R6,R$6:R$101,0),"")</f>
        <v/>
      </c>
      <c r="T6" s="222" t="e">
        <f>VLOOKUP($C$6,$C$7:$AC$102,18,FALSE)</f>
        <v>#N/A</v>
      </c>
      <c r="U6" s="227" t="str">
        <f>IFERROR(RANK(T6,T$6:T$101,0),"")</f>
        <v/>
      </c>
      <c r="V6" s="291"/>
      <c r="W6" s="291"/>
      <c r="X6" s="291"/>
      <c r="Y6" s="291"/>
      <c r="Z6" s="291"/>
      <c r="AA6" s="291"/>
      <c r="AB6" s="291"/>
      <c r="AC6" s="292"/>
    </row>
    <row r="7" spans="1:29" s="179" customFormat="1" ht="12">
      <c r="C7" s="179" t="s">
        <v>75</v>
      </c>
      <c r="D7" s="179" t="s">
        <v>76</v>
      </c>
      <c r="F7" s="211">
        <v>19906723.609999999</v>
      </c>
      <c r="G7" s="228">
        <f t="shared" ref="G7:G38" si="0">IFERROR(RANK(F7,F$7:F$102),"")</f>
        <v>2</v>
      </c>
      <c r="H7" s="212">
        <v>0.29888626860781536</v>
      </c>
      <c r="I7" s="228">
        <f t="shared" ref="I7:I38" si="1">IFERROR(RANK(H7,H$7:H$102),"")</f>
        <v>1</v>
      </c>
      <c r="J7" s="212">
        <v>-0.12941130094888578</v>
      </c>
      <c r="K7" s="228">
        <f t="shared" ref="K7:K38" si="2">IFERROR(RANK(J7,J$7:J$102),"")</f>
        <v>3</v>
      </c>
      <c r="L7" s="211">
        <v>1585.4351393755974</v>
      </c>
      <c r="M7" s="228">
        <f t="shared" ref="M7:M38" si="3">IFERROR(RANK(L7,L$7:L$102),"")</f>
        <v>3</v>
      </c>
      <c r="N7" s="212">
        <v>6.0528830837846444E-3</v>
      </c>
      <c r="O7" s="228">
        <f t="shared" ref="O7:O38" si="4">IFERROR(IF(F7&gt;0,RANK(N7,N$7:N$102,1),""),"")</f>
        <v>3</v>
      </c>
      <c r="P7" s="212">
        <v>-1.8317295560221023E-2</v>
      </c>
      <c r="Q7" s="228">
        <f t="shared" ref="Q7:Q38" si="5">IFERROR(RANK(P7,P$7:P$102),"")</f>
        <v>3</v>
      </c>
      <c r="R7" s="212">
        <v>-5.3138026162608681E-3</v>
      </c>
      <c r="S7" s="228">
        <f t="shared" ref="S7:S38" si="6">IFERROR(IF(F7&gt;0,RANK(R7,R$7:R$102,0),""),"")</f>
        <v>3</v>
      </c>
      <c r="T7" s="212">
        <v>0.14584386948244771</v>
      </c>
      <c r="U7" s="228">
        <f t="shared" ref="U7:U38" si="7">IFERROR(IF(F7&gt;0,RANK(T7,T$7:T$102,0),""),"")</f>
        <v>1</v>
      </c>
    </row>
    <row r="8" spans="1:29" s="179" customFormat="1" ht="12">
      <c r="C8" s="179" t="s">
        <v>77</v>
      </c>
      <c r="D8" s="179" t="s">
        <v>78</v>
      </c>
      <c r="F8" s="211">
        <v>25506585.77</v>
      </c>
      <c r="G8" s="228">
        <f t="shared" si="0"/>
        <v>1</v>
      </c>
      <c r="H8" s="212">
        <v>0.27981738459070921</v>
      </c>
      <c r="I8" s="228">
        <f t="shared" si="1"/>
        <v>2</v>
      </c>
      <c r="J8" s="212">
        <v>-0.11754983701215296</v>
      </c>
      <c r="K8" s="228">
        <f t="shared" si="2"/>
        <v>2</v>
      </c>
      <c r="L8" s="211">
        <v>1752.5722333686049</v>
      </c>
      <c r="M8" s="228">
        <f t="shared" si="3"/>
        <v>2</v>
      </c>
      <c r="N8" s="212">
        <v>6.1839519575643482E-4</v>
      </c>
      <c r="O8" s="228">
        <f t="shared" si="4"/>
        <v>2</v>
      </c>
      <c r="P8" s="212">
        <v>-1.7060277840549257E-2</v>
      </c>
      <c r="Q8" s="228">
        <f t="shared" si="5"/>
        <v>2</v>
      </c>
      <c r="R8" s="212">
        <v>-4.1660119060301813E-3</v>
      </c>
      <c r="S8" s="228">
        <f t="shared" si="6"/>
        <v>2</v>
      </c>
      <c r="T8" s="212">
        <v>0.14104125783197677</v>
      </c>
      <c r="U8" s="228">
        <f t="shared" si="7"/>
        <v>2</v>
      </c>
    </row>
    <row r="9" spans="1:29" s="179" customFormat="1" ht="12">
      <c r="C9" s="179" t="s">
        <v>123</v>
      </c>
      <c r="D9" s="179" t="s">
        <v>124</v>
      </c>
      <c r="F9" s="211">
        <v>1151346</v>
      </c>
      <c r="G9" s="228">
        <f t="shared" si="0"/>
        <v>3</v>
      </c>
      <c r="H9" s="212">
        <v>0.25250793419180678</v>
      </c>
      <c r="I9" s="228">
        <f t="shared" si="1"/>
        <v>4</v>
      </c>
      <c r="J9" s="212">
        <v>-9.9780604614077784E-2</v>
      </c>
      <c r="K9" s="228">
        <f t="shared" si="2"/>
        <v>1</v>
      </c>
      <c r="L9" s="211">
        <v>1998.8645833333333</v>
      </c>
      <c r="M9" s="228">
        <f t="shared" si="3"/>
        <v>1</v>
      </c>
      <c r="N9" s="212">
        <v>0</v>
      </c>
      <c r="O9" s="228">
        <f t="shared" si="4"/>
        <v>1</v>
      </c>
      <c r="P9" s="212">
        <v>-1.273466012823252E-2</v>
      </c>
      <c r="Q9" s="228">
        <f t="shared" si="5"/>
        <v>1</v>
      </c>
      <c r="R9" s="212">
        <v>-3.6800405785923605E-3</v>
      </c>
      <c r="S9" s="228">
        <f t="shared" si="6"/>
        <v>1</v>
      </c>
      <c r="T9" s="212">
        <v>0.13631262887090415</v>
      </c>
      <c r="U9" s="228">
        <f t="shared" si="7"/>
        <v>3</v>
      </c>
    </row>
    <row r="10" spans="1:29" s="179" customFormat="1" ht="12">
      <c r="C10" s="179" t="s">
        <v>147</v>
      </c>
      <c r="D10" s="179" t="s">
        <v>148</v>
      </c>
      <c r="F10" s="211">
        <v>469105</v>
      </c>
      <c r="G10" s="228">
        <f t="shared" si="0"/>
        <v>4</v>
      </c>
      <c r="H10" s="212">
        <v>0.27108856226218009</v>
      </c>
      <c r="I10" s="228">
        <f t="shared" si="1"/>
        <v>3</v>
      </c>
      <c r="J10" s="212">
        <v>-0.16820114899649333</v>
      </c>
      <c r="K10" s="228">
        <f t="shared" si="2"/>
        <v>4</v>
      </c>
      <c r="L10" s="211">
        <v>1274.741847826087</v>
      </c>
      <c r="M10" s="228">
        <f t="shared" si="3"/>
        <v>4</v>
      </c>
      <c r="N10" s="212">
        <v>0.10326086956521739</v>
      </c>
      <c r="O10" s="228">
        <f t="shared" si="4"/>
        <v>4</v>
      </c>
      <c r="P10" s="212">
        <v>-2.4320781061809189E-2</v>
      </c>
      <c r="Q10" s="228">
        <f t="shared" si="5"/>
        <v>4</v>
      </c>
      <c r="R10" s="212">
        <v>-7.9491798211487833E-3</v>
      </c>
      <c r="S10" s="228">
        <f t="shared" si="6"/>
        <v>4</v>
      </c>
      <c r="T10" s="212">
        <v>7.0617452382728818E-2</v>
      </c>
      <c r="U10" s="228">
        <f t="shared" si="7"/>
        <v>4</v>
      </c>
    </row>
    <row r="11" spans="1:29" s="179" customFormat="1" ht="12">
      <c r="F11" s="211"/>
      <c r="G11" s="228" t="str">
        <f t="shared" si="0"/>
        <v/>
      </c>
      <c r="H11" s="212"/>
      <c r="I11" s="228" t="str">
        <f t="shared" si="1"/>
        <v/>
      </c>
      <c r="J11" s="212"/>
      <c r="K11" s="228" t="str">
        <f t="shared" si="2"/>
        <v/>
      </c>
      <c r="L11" s="211"/>
      <c r="M11" s="228" t="str">
        <f t="shared" si="3"/>
        <v/>
      </c>
      <c r="N11" s="212"/>
      <c r="O11" s="228" t="str">
        <f t="shared" si="4"/>
        <v/>
      </c>
      <c r="P11" s="212"/>
      <c r="Q11" s="228" t="str">
        <f t="shared" si="5"/>
        <v/>
      </c>
      <c r="R11" s="212"/>
      <c r="S11" s="228" t="str">
        <f t="shared" si="6"/>
        <v/>
      </c>
      <c r="T11" s="212"/>
      <c r="U11" s="228" t="str">
        <f t="shared" si="7"/>
        <v/>
      </c>
    </row>
    <row r="12" spans="1:29" s="179" customFormat="1" ht="12">
      <c r="F12" s="211"/>
      <c r="G12" s="228" t="str">
        <f t="shared" si="0"/>
        <v/>
      </c>
      <c r="H12" s="212"/>
      <c r="I12" s="228" t="str">
        <f t="shared" si="1"/>
        <v/>
      </c>
      <c r="J12" s="212"/>
      <c r="K12" s="228" t="str">
        <f t="shared" si="2"/>
        <v/>
      </c>
      <c r="L12" s="211"/>
      <c r="M12" s="228" t="str">
        <f t="shared" si="3"/>
        <v/>
      </c>
      <c r="N12" s="212"/>
      <c r="O12" s="228" t="str">
        <f t="shared" si="4"/>
        <v/>
      </c>
      <c r="P12" s="212"/>
      <c r="Q12" s="228" t="str">
        <f t="shared" si="5"/>
        <v/>
      </c>
      <c r="R12" s="212"/>
      <c r="S12" s="228" t="str">
        <f t="shared" si="6"/>
        <v/>
      </c>
      <c r="T12" s="212"/>
      <c r="U12" s="228" t="str">
        <f t="shared" si="7"/>
        <v/>
      </c>
    </row>
    <row r="13" spans="1:29" s="179" customFormat="1" ht="12">
      <c r="F13" s="211"/>
      <c r="G13" s="228" t="str">
        <f t="shared" si="0"/>
        <v/>
      </c>
      <c r="H13" s="212"/>
      <c r="I13" s="228" t="str">
        <f t="shared" si="1"/>
        <v/>
      </c>
      <c r="J13" s="212"/>
      <c r="K13" s="228" t="str">
        <f t="shared" si="2"/>
        <v/>
      </c>
      <c r="L13" s="211"/>
      <c r="M13" s="228" t="str">
        <f t="shared" si="3"/>
        <v/>
      </c>
      <c r="N13" s="212"/>
      <c r="O13" s="228" t="str">
        <f t="shared" si="4"/>
        <v/>
      </c>
      <c r="P13" s="212"/>
      <c r="Q13" s="228" t="str">
        <f t="shared" si="5"/>
        <v/>
      </c>
      <c r="R13" s="212"/>
      <c r="S13" s="228" t="str">
        <f t="shared" si="6"/>
        <v/>
      </c>
      <c r="T13" s="212"/>
      <c r="U13" s="228" t="str">
        <f t="shared" si="7"/>
        <v/>
      </c>
    </row>
    <row r="14" spans="1:29" s="179" customFormat="1" ht="12">
      <c r="F14" s="211"/>
      <c r="G14" s="228" t="str">
        <f t="shared" si="0"/>
        <v/>
      </c>
      <c r="H14" s="212"/>
      <c r="I14" s="228" t="str">
        <f t="shared" si="1"/>
        <v/>
      </c>
      <c r="J14" s="212"/>
      <c r="K14" s="228" t="str">
        <f t="shared" si="2"/>
        <v/>
      </c>
      <c r="L14" s="211"/>
      <c r="M14" s="228" t="str">
        <f t="shared" si="3"/>
        <v/>
      </c>
      <c r="N14" s="212"/>
      <c r="O14" s="228" t="str">
        <f t="shared" si="4"/>
        <v/>
      </c>
      <c r="P14" s="212"/>
      <c r="Q14" s="228" t="str">
        <f t="shared" si="5"/>
        <v/>
      </c>
      <c r="R14" s="212"/>
      <c r="S14" s="228" t="str">
        <f t="shared" si="6"/>
        <v/>
      </c>
      <c r="T14" s="212"/>
      <c r="U14" s="228" t="str">
        <f t="shared" si="7"/>
        <v/>
      </c>
    </row>
    <row r="15" spans="1:29" s="179" customFormat="1" ht="12">
      <c r="F15" s="211"/>
      <c r="G15" s="228" t="str">
        <f t="shared" si="0"/>
        <v/>
      </c>
      <c r="H15" s="212"/>
      <c r="I15" s="228" t="str">
        <f t="shared" si="1"/>
        <v/>
      </c>
      <c r="J15" s="212"/>
      <c r="K15" s="228" t="str">
        <f t="shared" si="2"/>
        <v/>
      </c>
      <c r="L15" s="211"/>
      <c r="M15" s="228" t="str">
        <f t="shared" si="3"/>
        <v/>
      </c>
      <c r="N15" s="212"/>
      <c r="O15" s="228" t="str">
        <f t="shared" si="4"/>
        <v/>
      </c>
      <c r="P15" s="212"/>
      <c r="Q15" s="228" t="str">
        <f t="shared" si="5"/>
        <v/>
      </c>
      <c r="R15" s="212"/>
      <c r="S15" s="228" t="str">
        <f t="shared" si="6"/>
        <v/>
      </c>
      <c r="T15" s="212"/>
      <c r="U15" s="228" t="str">
        <f t="shared" si="7"/>
        <v/>
      </c>
    </row>
    <row r="16" spans="1:29" s="179" customFormat="1" ht="12">
      <c r="F16" s="211"/>
      <c r="G16" s="228" t="str">
        <f t="shared" si="0"/>
        <v/>
      </c>
      <c r="H16" s="212"/>
      <c r="I16" s="228" t="str">
        <f t="shared" si="1"/>
        <v/>
      </c>
      <c r="J16" s="212"/>
      <c r="K16" s="228" t="str">
        <f t="shared" si="2"/>
        <v/>
      </c>
      <c r="L16" s="211"/>
      <c r="M16" s="228" t="str">
        <f t="shared" si="3"/>
        <v/>
      </c>
      <c r="N16" s="212"/>
      <c r="O16" s="228" t="str">
        <f t="shared" si="4"/>
        <v/>
      </c>
      <c r="P16" s="212"/>
      <c r="Q16" s="228" t="str">
        <f t="shared" si="5"/>
        <v/>
      </c>
      <c r="R16" s="212"/>
      <c r="S16" s="228" t="str">
        <f t="shared" si="6"/>
        <v/>
      </c>
      <c r="T16" s="212"/>
      <c r="U16" s="228" t="str">
        <f t="shared" si="7"/>
        <v/>
      </c>
    </row>
    <row r="17" spans="6:21" s="179" customFormat="1" ht="12">
      <c r="F17" s="211"/>
      <c r="G17" s="228" t="str">
        <f t="shared" si="0"/>
        <v/>
      </c>
      <c r="H17" s="212"/>
      <c r="I17" s="228" t="str">
        <f t="shared" si="1"/>
        <v/>
      </c>
      <c r="J17" s="212"/>
      <c r="K17" s="228" t="str">
        <f t="shared" si="2"/>
        <v/>
      </c>
      <c r="L17" s="211"/>
      <c r="M17" s="228" t="str">
        <f t="shared" si="3"/>
        <v/>
      </c>
      <c r="N17" s="212"/>
      <c r="O17" s="228" t="str">
        <f t="shared" si="4"/>
        <v/>
      </c>
      <c r="P17" s="212"/>
      <c r="Q17" s="228" t="str">
        <f t="shared" si="5"/>
        <v/>
      </c>
      <c r="R17" s="212"/>
      <c r="S17" s="228" t="str">
        <f t="shared" si="6"/>
        <v/>
      </c>
      <c r="T17" s="212"/>
      <c r="U17" s="228" t="str">
        <f t="shared" si="7"/>
        <v/>
      </c>
    </row>
    <row r="18" spans="6:21" s="179" customFormat="1" ht="12">
      <c r="F18" s="211"/>
      <c r="G18" s="228" t="str">
        <f t="shared" si="0"/>
        <v/>
      </c>
      <c r="H18" s="212"/>
      <c r="I18" s="228" t="str">
        <f t="shared" si="1"/>
        <v/>
      </c>
      <c r="J18" s="212"/>
      <c r="K18" s="228" t="str">
        <f t="shared" si="2"/>
        <v/>
      </c>
      <c r="L18" s="211"/>
      <c r="M18" s="228" t="str">
        <f t="shared" si="3"/>
        <v/>
      </c>
      <c r="N18" s="212"/>
      <c r="O18" s="228" t="str">
        <f t="shared" si="4"/>
        <v/>
      </c>
      <c r="P18" s="212"/>
      <c r="Q18" s="228" t="str">
        <f t="shared" si="5"/>
        <v/>
      </c>
      <c r="R18" s="212"/>
      <c r="S18" s="228" t="str">
        <f t="shared" si="6"/>
        <v/>
      </c>
      <c r="T18" s="212"/>
      <c r="U18" s="228" t="str">
        <f t="shared" si="7"/>
        <v/>
      </c>
    </row>
    <row r="19" spans="6:21" s="179" customFormat="1" ht="12">
      <c r="F19" s="211"/>
      <c r="G19" s="228" t="str">
        <f t="shared" si="0"/>
        <v/>
      </c>
      <c r="H19" s="212"/>
      <c r="I19" s="228" t="str">
        <f t="shared" si="1"/>
        <v/>
      </c>
      <c r="J19" s="212"/>
      <c r="K19" s="228" t="str">
        <f t="shared" si="2"/>
        <v/>
      </c>
      <c r="L19" s="211"/>
      <c r="M19" s="228" t="str">
        <f t="shared" si="3"/>
        <v/>
      </c>
      <c r="N19" s="212"/>
      <c r="O19" s="228" t="str">
        <f t="shared" si="4"/>
        <v/>
      </c>
      <c r="P19" s="212"/>
      <c r="Q19" s="228" t="str">
        <f t="shared" si="5"/>
        <v/>
      </c>
      <c r="R19" s="212"/>
      <c r="S19" s="228" t="str">
        <f t="shared" si="6"/>
        <v/>
      </c>
      <c r="T19" s="212"/>
      <c r="U19" s="228" t="str">
        <f t="shared" si="7"/>
        <v/>
      </c>
    </row>
    <row r="20" spans="6:21" s="179" customFormat="1" ht="12">
      <c r="F20" s="211"/>
      <c r="G20" s="228" t="str">
        <f t="shared" si="0"/>
        <v/>
      </c>
      <c r="H20" s="212"/>
      <c r="I20" s="228" t="str">
        <f t="shared" si="1"/>
        <v/>
      </c>
      <c r="J20" s="212"/>
      <c r="K20" s="228" t="str">
        <f t="shared" si="2"/>
        <v/>
      </c>
      <c r="L20" s="211"/>
      <c r="M20" s="228" t="str">
        <f t="shared" si="3"/>
        <v/>
      </c>
      <c r="N20" s="212"/>
      <c r="O20" s="228" t="str">
        <f t="shared" si="4"/>
        <v/>
      </c>
      <c r="P20" s="212"/>
      <c r="Q20" s="228" t="str">
        <f t="shared" si="5"/>
        <v/>
      </c>
      <c r="R20" s="212"/>
      <c r="S20" s="228" t="str">
        <f t="shared" si="6"/>
        <v/>
      </c>
      <c r="T20" s="212"/>
      <c r="U20" s="228" t="str">
        <f t="shared" si="7"/>
        <v/>
      </c>
    </row>
    <row r="21" spans="6:21" s="179" customFormat="1" ht="12">
      <c r="F21" s="211"/>
      <c r="G21" s="228" t="str">
        <f t="shared" si="0"/>
        <v/>
      </c>
      <c r="H21" s="212"/>
      <c r="I21" s="228" t="str">
        <f t="shared" si="1"/>
        <v/>
      </c>
      <c r="J21" s="212"/>
      <c r="K21" s="228" t="str">
        <f t="shared" si="2"/>
        <v/>
      </c>
      <c r="L21" s="211"/>
      <c r="M21" s="228" t="str">
        <f t="shared" si="3"/>
        <v/>
      </c>
      <c r="N21" s="212"/>
      <c r="O21" s="228" t="str">
        <f t="shared" si="4"/>
        <v/>
      </c>
      <c r="P21" s="212"/>
      <c r="Q21" s="228" t="str">
        <f t="shared" si="5"/>
        <v/>
      </c>
      <c r="R21" s="212"/>
      <c r="S21" s="228" t="str">
        <f t="shared" si="6"/>
        <v/>
      </c>
      <c r="T21" s="212"/>
      <c r="U21" s="228" t="str">
        <f t="shared" si="7"/>
        <v/>
      </c>
    </row>
    <row r="22" spans="6:21" s="179" customFormat="1" ht="12">
      <c r="F22" s="211"/>
      <c r="G22" s="228" t="str">
        <f t="shared" si="0"/>
        <v/>
      </c>
      <c r="H22" s="212"/>
      <c r="I22" s="228" t="str">
        <f t="shared" si="1"/>
        <v/>
      </c>
      <c r="J22" s="212"/>
      <c r="K22" s="228" t="str">
        <f t="shared" si="2"/>
        <v/>
      </c>
      <c r="L22" s="211"/>
      <c r="M22" s="228" t="str">
        <f t="shared" si="3"/>
        <v/>
      </c>
      <c r="N22" s="212"/>
      <c r="O22" s="228" t="str">
        <f t="shared" si="4"/>
        <v/>
      </c>
      <c r="P22" s="212"/>
      <c r="Q22" s="228" t="str">
        <f t="shared" si="5"/>
        <v/>
      </c>
      <c r="R22" s="212"/>
      <c r="S22" s="228" t="str">
        <f t="shared" si="6"/>
        <v/>
      </c>
      <c r="T22" s="212"/>
      <c r="U22" s="228" t="str">
        <f t="shared" si="7"/>
        <v/>
      </c>
    </row>
    <row r="23" spans="6:21" s="179" customFormat="1" ht="12">
      <c r="F23" s="211"/>
      <c r="G23" s="228" t="str">
        <f t="shared" si="0"/>
        <v/>
      </c>
      <c r="H23" s="212"/>
      <c r="I23" s="228" t="str">
        <f t="shared" si="1"/>
        <v/>
      </c>
      <c r="J23" s="212"/>
      <c r="K23" s="228" t="str">
        <f t="shared" si="2"/>
        <v/>
      </c>
      <c r="L23" s="211"/>
      <c r="M23" s="228" t="str">
        <f t="shared" si="3"/>
        <v/>
      </c>
      <c r="N23" s="212"/>
      <c r="O23" s="228" t="str">
        <f t="shared" si="4"/>
        <v/>
      </c>
      <c r="P23" s="212"/>
      <c r="Q23" s="228" t="str">
        <f t="shared" si="5"/>
        <v/>
      </c>
      <c r="R23" s="212"/>
      <c r="S23" s="228" t="str">
        <f t="shared" si="6"/>
        <v/>
      </c>
      <c r="T23" s="212"/>
      <c r="U23" s="228" t="str">
        <f t="shared" si="7"/>
        <v/>
      </c>
    </row>
    <row r="24" spans="6:21" s="179" customFormat="1" ht="12">
      <c r="F24" s="211"/>
      <c r="G24" s="228" t="str">
        <f t="shared" si="0"/>
        <v/>
      </c>
      <c r="H24" s="212"/>
      <c r="I24" s="228" t="str">
        <f t="shared" si="1"/>
        <v/>
      </c>
      <c r="J24" s="212"/>
      <c r="K24" s="228" t="str">
        <f t="shared" si="2"/>
        <v/>
      </c>
      <c r="L24" s="211"/>
      <c r="M24" s="228" t="str">
        <f t="shared" si="3"/>
        <v/>
      </c>
      <c r="N24" s="212"/>
      <c r="O24" s="228" t="str">
        <f t="shared" si="4"/>
        <v/>
      </c>
      <c r="P24" s="212"/>
      <c r="Q24" s="228" t="str">
        <f t="shared" si="5"/>
        <v/>
      </c>
      <c r="R24" s="212"/>
      <c r="S24" s="228" t="str">
        <f t="shared" si="6"/>
        <v/>
      </c>
      <c r="T24" s="212"/>
      <c r="U24" s="228" t="str">
        <f t="shared" si="7"/>
        <v/>
      </c>
    </row>
    <row r="25" spans="6:21" s="179" customFormat="1" ht="12">
      <c r="F25" s="211"/>
      <c r="G25" s="228" t="str">
        <f t="shared" si="0"/>
        <v/>
      </c>
      <c r="H25" s="212"/>
      <c r="I25" s="228" t="str">
        <f t="shared" si="1"/>
        <v/>
      </c>
      <c r="J25" s="212"/>
      <c r="K25" s="228" t="str">
        <f t="shared" si="2"/>
        <v/>
      </c>
      <c r="L25" s="211"/>
      <c r="M25" s="228" t="str">
        <f t="shared" si="3"/>
        <v/>
      </c>
      <c r="N25" s="212"/>
      <c r="O25" s="228" t="str">
        <f t="shared" si="4"/>
        <v/>
      </c>
      <c r="P25" s="212"/>
      <c r="Q25" s="228" t="str">
        <f t="shared" si="5"/>
        <v/>
      </c>
      <c r="R25" s="212"/>
      <c r="S25" s="228" t="str">
        <f t="shared" si="6"/>
        <v/>
      </c>
      <c r="T25" s="212"/>
      <c r="U25" s="228" t="str">
        <f t="shared" si="7"/>
        <v/>
      </c>
    </row>
    <row r="26" spans="6:21" s="179" customFormat="1" ht="12">
      <c r="F26" s="211"/>
      <c r="G26" s="228" t="str">
        <f t="shared" si="0"/>
        <v/>
      </c>
      <c r="H26" s="212"/>
      <c r="I26" s="228" t="str">
        <f t="shared" si="1"/>
        <v/>
      </c>
      <c r="J26" s="212"/>
      <c r="K26" s="228" t="str">
        <f t="shared" si="2"/>
        <v/>
      </c>
      <c r="L26" s="211"/>
      <c r="M26" s="228" t="str">
        <f t="shared" si="3"/>
        <v/>
      </c>
      <c r="N26" s="212"/>
      <c r="O26" s="228" t="str">
        <f t="shared" si="4"/>
        <v/>
      </c>
      <c r="P26" s="212"/>
      <c r="Q26" s="228" t="str">
        <f t="shared" si="5"/>
        <v/>
      </c>
      <c r="R26" s="212"/>
      <c r="S26" s="228" t="str">
        <f t="shared" si="6"/>
        <v/>
      </c>
      <c r="T26" s="212"/>
      <c r="U26" s="228" t="str">
        <f t="shared" si="7"/>
        <v/>
      </c>
    </row>
    <row r="27" spans="6:21" s="179" customFormat="1" ht="12">
      <c r="F27" s="211"/>
      <c r="G27" s="228" t="str">
        <f t="shared" si="0"/>
        <v/>
      </c>
      <c r="H27" s="212"/>
      <c r="I27" s="228" t="str">
        <f t="shared" si="1"/>
        <v/>
      </c>
      <c r="J27" s="212"/>
      <c r="K27" s="228" t="str">
        <f t="shared" si="2"/>
        <v/>
      </c>
      <c r="L27" s="211"/>
      <c r="M27" s="228" t="str">
        <f t="shared" si="3"/>
        <v/>
      </c>
      <c r="N27" s="212"/>
      <c r="O27" s="228" t="str">
        <f t="shared" si="4"/>
        <v/>
      </c>
      <c r="P27" s="212"/>
      <c r="Q27" s="228" t="str">
        <f t="shared" si="5"/>
        <v/>
      </c>
      <c r="R27" s="212"/>
      <c r="S27" s="228" t="str">
        <f t="shared" si="6"/>
        <v/>
      </c>
      <c r="T27" s="212"/>
      <c r="U27" s="228" t="str">
        <f t="shared" si="7"/>
        <v/>
      </c>
    </row>
    <row r="28" spans="6:21" s="179" customFormat="1" ht="12">
      <c r="F28" s="211"/>
      <c r="G28" s="228" t="str">
        <f t="shared" si="0"/>
        <v/>
      </c>
      <c r="H28" s="212"/>
      <c r="I28" s="228" t="str">
        <f t="shared" si="1"/>
        <v/>
      </c>
      <c r="J28" s="212"/>
      <c r="K28" s="228" t="str">
        <f t="shared" si="2"/>
        <v/>
      </c>
      <c r="L28" s="211"/>
      <c r="M28" s="228" t="str">
        <f t="shared" si="3"/>
        <v/>
      </c>
      <c r="N28" s="212"/>
      <c r="O28" s="228" t="str">
        <f t="shared" si="4"/>
        <v/>
      </c>
      <c r="P28" s="212"/>
      <c r="Q28" s="228" t="str">
        <f t="shared" si="5"/>
        <v/>
      </c>
      <c r="R28" s="212"/>
      <c r="S28" s="228" t="str">
        <f t="shared" si="6"/>
        <v/>
      </c>
      <c r="T28" s="212"/>
      <c r="U28" s="228" t="str">
        <f t="shared" si="7"/>
        <v/>
      </c>
    </row>
    <row r="29" spans="6:21" s="179" customFormat="1" ht="12">
      <c r="F29" s="211"/>
      <c r="G29" s="228" t="str">
        <f t="shared" si="0"/>
        <v/>
      </c>
      <c r="H29" s="212"/>
      <c r="I29" s="228" t="str">
        <f t="shared" si="1"/>
        <v/>
      </c>
      <c r="J29" s="212"/>
      <c r="K29" s="228" t="str">
        <f t="shared" si="2"/>
        <v/>
      </c>
      <c r="L29" s="211"/>
      <c r="M29" s="228" t="str">
        <f t="shared" si="3"/>
        <v/>
      </c>
      <c r="N29" s="212"/>
      <c r="O29" s="228" t="str">
        <f t="shared" si="4"/>
        <v/>
      </c>
      <c r="P29" s="212"/>
      <c r="Q29" s="228" t="str">
        <f t="shared" si="5"/>
        <v/>
      </c>
      <c r="R29" s="212"/>
      <c r="S29" s="228" t="str">
        <f t="shared" si="6"/>
        <v/>
      </c>
      <c r="T29" s="212"/>
      <c r="U29" s="228" t="str">
        <f t="shared" si="7"/>
        <v/>
      </c>
    </row>
    <row r="30" spans="6:21" s="179" customFormat="1" ht="12">
      <c r="F30" s="211"/>
      <c r="G30" s="228" t="str">
        <f t="shared" si="0"/>
        <v/>
      </c>
      <c r="H30" s="212"/>
      <c r="I30" s="228" t="str">
        <f t="shared" si="1"/>
        <v/>
      </c>
      <c r="J30" s="212"/>
      <c r="K30" s="228" t="str">
        <f t="shared" si="2"/>
        <v/>
      </c>
      <c r="L30" s="211"/>
      <c r="M30" s="228" t="str">
        <f t="shared" si="3"/>
        <v/>
      </c>
      <c r="N30" s="212"/>
      <c r="O30" s="228" t="str">
        <f t="shared" si="4"/>
        <v/>
      </c>
      <c r="P30" s="212"/>
      <c r="Q30" s="228" t="str">
        <f t="shared" si="5"/>
        <v/>
      </c>
      <c r="R30" s="212"/>
      <c r="S30" s="228" t="str">
        <f t="shared" si="6"/>
        <v/>
      </c>
      <c r="T30" s="212"/>
      <c r="U30" s="228" t="str">
        <f t="shared" si="7"/>
        <v/>
      </c>
    </row>
    <row r="31" spans="6:21" s="179" customFormat="1" ht="12">
      <c r="F31" s="211"/>
      <c r="G31" s="228" t="str">
        <f t="shared" si="0"/>
        <v/>
      </c>
      <c r="H31" s="212"/>
      <c r="I31" s="228" t="str">
        <f t="shared" si="1"/>
        <v/>
      </c>
      <c r="J31" s="212"/>
      <c r="K31" s="228" t="str">
        <f t="shared" si="2"/>
        <v/>
      </c>
      <c r="L31" s="211"/>
      <c r="M31" s="228" t="str">
        <f t="shared" si="3"/>
        <v/>
      </c>
      <c r="N31" s="212"/>
      <c r="O31" s="228" t="str">
        <f t="shared" si="4"/>
        <v/>
      </c>
      <c r="P31" s="212"/>
      <c r="Q31" s="228" t="str">
        <f t="shared" si="5"/>
        <v/>
      </c>
      <c r="R31" s="212"/>
      <c r="S31" s="228" t="str">
        <f t="shared" si="6"/>
        <v/>
      </c>
      <c r="T31" s="212"/>
      <c r="U31" s="228" t="str">
        <f t="shared" si="7"/>
        <v/>
      </c>
    </row>
    <row r="32" spans="6:21" s="179" customFormat="1" ht="12">
      <c r="F32" s="211"/>
      <c r="G32" s="228" t="str">
        <f t="shared" si="0"/>
        <v/>
      </c>
      <c r="H32" s="212"/>
      <c r="I32" s="228" t="str">
        <f t="shared" si="1"/>
        <v/>
      </c>
      <c r="J32" s="212"/>
      <c r="K32" s="228" t="str">
        <f t="shared" si="2"/>
        <v/>
      </c>
      <c r="L32" s="211"/>
      <c r="M32" s="228" t="str">
        <f t="shared" si="3"/>
        <v/>
      </c>
      <c r="N32" s="212"/>
      <c r="O32" s="228" t="str">
        <f t="shared" si="4"/>
        <v/>
      </c>
      <c r="P32" s="212"/>
      <c r="Q32" s="228" t="str">
        <f t="shared" si="5"/>
        <v/>
      </c>
      <c r="R32" s="212"/>
      <c r="S32" s="228" t="str">
        <f t="shared" si="6"/>
        <v/>
      </c>
      <c r="T32" s="212"/>
      <c r="U32" s="228" t="str">
        <f t="shared" si="7"/>
        <v/>
      </c>
    </row>
    <row r="33" spans="6:21" s="179" customFormat="1" ht="12">
      <c r="F33" s="211"/>
      <c r="G33" s="228" t="str">
        <f t="shared" si="0"/>
        <v/>
      </c>
      <c r="H33" s="212"/>
      <c r="I33" s="228" t="str">
        <f t="shared" si="1"/>
        <v/>
      </c>
      <c r="J33" s="212"/>
      <c r="K33" s="228" t="str">
        <f t="shared" si="2"/>
        <v/>
      </c>
      <c r="L33" s="211"/>
      <c r="M33" s="228" t="str">
        <f t="shared" si="3"/>
        <v/>
      </c>
      <c r="N33" s="212"/>
      <c r="O33" s="228" t="str">
        <f t="shared" si="4"/>
        <v/>
      </c>
      <c r="P33" s="212"/>
      <c r="Q33" s="228" t="str">
        <f t="shared" si="5"/>
        <v/>
      </c>
      <c r="R33" s="212"/>
      <c r="S33" s="228" t="str">
        <f t="shared" si="6"/>
        <v/>
      </c>
      <c r="T33" s="212"/>
      <c r="U33" s="228" t="str">
        <f t="shared" si="7"/>
        <v/>
      </c>
    </row>
    <row r="34" spans="6:21" s="179" customFormat="1" ht="12">
      <c r="F34" s="211"/>
      <c r="G34" s="228" t="str">
        <f t="shared" si="0"/>
        <v/>
      </c>
      <c r="H34" s="212"/>
      <c r="I34" s="228" t="str">
        <f t="shared" si="1"/>
        <v/>
      </c>
      <c r="J34" s="212"/>
      <c r="K34" s="228" t="str">
        <f t="shared" si="2"/>
        <v/>
      </c>
      <c r="L34" s="211"/>
      <c r="M34" s="228" t="str">
        <f t="shared" si="3"/>
        <v/>
      </c>
      <c r="N34" s="212"/>
      <c r="O34" s="228" t="str">
        <f t="shared" si="4"/>
        <v/>
      </c>
      <c r="P34" s="212"/>
      <c r="Q34" s="228" t="str">
        <f t="shared" si="5"/>
        <v/>
      </c>
      <c r="R34" s="212"/>
      <c r="S34" s="228" t="str">
        <f t="shared" si="6"/>
        <v/>
      </c>
      <c r="T34" s="212"/>
      <c r="U34" s="228" t="str">
        <f t="shared" si="7"/>
        <v/>
      </c>
    </row>
    <row r="35" spans="6:21" s="179" customFormat="1" ht="12">
      <c r="F35" s="211"/>
      <c r="G35" s="228" t="str">
        <f t="shared" si="0"/>
        <v/>
      </c>
      <c r="H35" s="212"/>
      <c r="I35" s="228" t="str">
        <f t="shared" si="1"/>
        <v/>
      </c>
      <c r="J35" s="212"/>
      <c r="K35" s="228" t="str">
        <f t="shared" si="2"/>
        <v/>
      </c>
      <c r="L35" s="211"/>
      <c r="M35" s="228" t="str">
        <f t="shared" si="3"/>
        <v/>
      </c>
      <c r="N35" s="212"/>
      <c r="O35" s="228" t="str">
        <f t="shared" si="4"/>
        <v/>
      </c>
      <c r="P35" s="212"/>
      <c r="Q35" s="228" t="str">
        <f t="shared" si="5"/>
        <v/>
      </c>
      <c r="R35" s="212"/>
      <c r="S35" s="228" t="str">
        <f t="shared" si="6"/>
        <v/>
      </c>
      <c r="T35" s="212"/>
      <c r="U35" s="228" t="str">
        <f t="shared" si="7"/>
        <v/>
      </c>
    </row>
    <row r="36" spans="6:21" s="179" customFormat="1" ht="12">
      <c r="F36" s="211"/>
      <c r="G36" s="228" t="str">
        <f t="shared" si="0"/>
        <v/>
      </c>
      <c r="H36" s="212"/>
      <c r="I36" s="228" t="str">
        <f t="shared" si="1"/>
        <v/>
      </c>
      <c r="J36" s="212"/>
      <c r="K36" s="228" t="str">
        <f t="shared" si="2"/>
        <v/>
      </c>
      <c r="L36" s="211"/>
      <c r="M36" s="228" t="str">
        <f t="shared" si="3"/>
        <v/>
      </c>
      <c r="N36" s="212"/>
      <c r="O36" s="228" t="str">
        <f t="shared" si="4"/>
        <v/>
      </c>
      <c r="P36" s="212"/>
      <c r="Q36" s="228" t="str">
        <f t="shared" si="5"/>
        <v/>
      </c>
      <c r="R36" s="212"/>
      <c r="S36" s="228" t="str">
        <f t="shared" si="6"/>
        <v/>
      </c>
      <c r="T36" s="212"/>
      <c r="U36" s="228" t="str">
        <f t="shared" si="7"/>
        <v/>
      </c>
    </row>
    <row r="37" spans="6:21" s="179" customFormat="1" ht="12">
      <c r="F37" s="211"/>
      <c r="G37" s="228" t="str">
        <f t="shared" si="0"/>
        <v/>
      </c>
      <c r="H37" s="212"/>
      <c r="I37" s="228" t="str">
        <f t="shared" si="1"/>
        <v/>
      </c>
      <c r="J37" s="212"/>
      <c r="K37" s="228" t="str">
        <f t="shared" si="2"/>
        <v/>
      </c>
      <c r="L37" s="211"/>
      <c r="M37" s="228" t="str">
        <f t="shared" si="3"/>
        <v/>
      </c>
      <c r="N37" s="212"/>
      <c r="O37" s="228" t="str">
        <f t="shared" si="4"/>
        <v/>
      </c>
      <c r="P37" s="212"/>
      <c r="Q37" s="228" t="str">
        <f t="shared" si="5"/>
        <v/>
      </c>
      <c r="R37" s="212"/>
      <c r="S37" s="228" t="str">
        <f t="shared" si="6"/>
        <v/>
      </c>
      <c r="T37" s="212"/>
      <c r="U37" s="228" t="str">
        <f t="shared" si="7"/>
        <v/>
      </c>
    </row>
    <row r="38" spans="6:21" s="179" customFormat="1" ht="12">
      <c r="F38" s="211"/>
      <c r="G38" s="228" t="str">
        <f t="shared" si="0"/>
        <v/>
      </c>
      <c r="H38" s="212"/>
      <c r="I38" s="228" t="str">
        <f t="shared" si="1"/>
        <v/>
      </c>
      <c r="J38" s="212"/>
      <c r="K38" s="228" t="str">
        <f t="shared" si="2"/>
        <v/>
      </c>
      <c r="L38" s="211"/>
      <c r="M38" s="228" t="str">
        <f t="shared" si="3"/>
        <v/>
      </c>
      <c r="N38" s="212"/>
      <c r="O38" s="228" t="str">
        <f t="shared" si="4"/>
        <v/>
      </c>
      <c r="P38" s="212"/>
      <c r="Q38" s="228" t="str">
        <f t="shared" si="5"/>
        <v/>
      </c>
      <c r="R38" s="212"/>
      <c r="S38" s="228" t="str">
        <f t="shared" si="6"/>
        <v/>
      </c>
      <c r="T38" s="212"/>
      <c r="U38" s="228" t="str">
        <f t="shared" si="7"/>
        <v/>
      </c>
    </row>
    <row r="39" spans="6:21" s="179" customFormat="1" ht="12">
      <c r="F39" s="211"/>
      <c r="G39" s="228" t="str">
        <f t="shared" ref="G39:G70" si="8">IFERROR(RANK(F39,F$7:F$102),"")</f>
        <v/>
      </c>
      <c r="H39" s="212"/>
      <c r="I39" s="228" t="str">
        <f t="shared" ref="I39:I70" si="9">IFERROR(RANK(H39,H$7:H$102),"")</f>
        <v/>
      </c>
      <c r="J39" s="212"/>
      <c r="K39" s="228" t="str">
        <f t="shared" ref="K39:K70" si="10">IFERROR(RANK(J39,J$7:J$102),"")</f>
        <v/>
      </c>
      <c r="L39" s="211"/>
      <c r="M39" s="228" t="str">
        <f t="shared" ref="M39:M70" si="11">IFERROR(RANK(L39,L$7:L$102),"")</f>
        <v/>
      </c>
      <c r="N39" s="212"/>
      <c r="O39" s="228" t="str">
        <f t="shared" ref="O39:O70" si="12">IFERROR(IF(F39&gt;0,RANK(N39,N$7:N$102,1),""),"")</f>
        <v/>
      </c>
      <c r="P39" s="212"/>
      <c r="Q39" s="228" t="str">
        <f t="shared" ref="Q39:Q70" si="13">IFERROR(RANK(P39,P$7:P$102),"")</f>
        <v/>
      </c>
      <c r="R39" s="212"/>
      <c r="S39" s="228" t="str">
        <f t="shared" ref="S39:S70" si="14">IFERROR(IF(F39&gt;0,RANK(R39,R$7:R$102,0),""),"")</f>
        <v/>
      </c>
      <c r="T39" s="212"/>
      <c r="U39" s="228" t="str">
        <f t="shared" ref="U39:U70" si="15">IFERROR(IF(F39&gt;0,RANK(T39,T$7:T$102,0),""),"")</f>
        <v/>
      </c>
    </row>
    <row r="40" spans="6:21" s="179" customFormat="1" ht="12">
      <c r="F40" s="211"/>
      <c r="G40" s="228" t="str">
        <f t="shared" si="8"/>
        <v/>
      </c>
      <c r="H40" s="212"/>
      <c r="I40" s="228" t="str">
        <f t="shared" si="9"/>
        <v/>
      </c>
      <c r="J40" s="212"/>
      <c r="K40" s="228" t="str">
        <f t="shared" si="10"/>
        <v/>
      </c>
      <c r="L40" s="211"/>
      <c r="M40" s="228" t="str">
        <f t="shared" si="11"/>
        <v/>
      </c>
      <c r="N40" s="212"/>
      <c r="O40" s="228" t="str">
        <f t="shared" si="12"/>
        <v/>
      </c>
      <c r="P40" s="212"/>
      <c r="Q40" s="228" t="str">
        <f t="shared" si="13"/>
        <v/>
      </c>
      <c r="R40" s="212"/>
      <c r="S40" s="228" t="str">
        <f t="shared" si="14"/>
        <v/>
      </c>
      <c r="T40" s="212"/>
      <c r="U40" s="228" t="str">
        <f t="shared" si="15"/>
        <v/>
      </c>
    </row>
    <row r="41" spans="6:21" s="179" customFormat="1" ht="12">
      <c r="F41" s="211"/>
      <c r="G41" s="228" t="str">
        <f t="shared" si="8"/>
        <v/>
      </c>
      <c r="H41" s="212"/>
      <c r="I41" s="228" t="str">
        <f t="shared" si="9"/>
        <v/>
      </c>
      <c r="J41" s="212"/>
      <c r="K41" s="228" t="str">
        <f t="shared" si="10"/>
        <v/>
      </c>
      <c r="L41" s="211"/>
      <c r="M41" s="228" t="str">
        <f t="shared" si="11"/>
        <v/>
      </c>
      <c r="N41" s="212"/>
      <c r="O41" s="228" t="str">
        <f t="shared" si="12"/>
        <v/>
      </c>
      <c r="P41" s="212"/>
      <c r="Q41" s="228" t="str">
        <f t="shared" si="13"/>
        <v/>
      </c>
      <c r="R41" s="212"/>
      <c r="S41" s="228" t="str">
        <f t="shared" si="14"/>
        <v/>
      </c>
      <c r="T41" s="212"/>
      <c r="U41" s="228" t="str">
        <f t="shared" si="15"/>
        <v/>
      </c>
    </row>
    <row r="42" spans="6:21" s="179" customFormat="1" ht="12">
      <c r="F42" s="211"/>
      <c r="G42" s="228" t="str">
        <f t="shared" si="8"/>
        <v/>
      </c>
      <c r="H42" s="212"/>
      <c r="I42" s="228" t="str">
        <f t="shared" si="9"/>
        <v/>
      </c>
      <c r="J42" s="212"/>
      <c r="K42" s="228" t="str">
        <f t="shared" si="10"/>
        <v/>
      </c>
      <c r="L42" s="211"/>
      <c r="M42" s="228" t="str">
        <f t="shared" si="11"/>
        <v/>
      </c>
      <c r="N42" s="212"/>
      <c r="O42" s="228" t="str">
        <f t="shared" si="12"/>
        <v/>
      </c>
      <c r="P42" s="212"/>
      <c r="Q42" s="228" t="str">
        <f t="shared" si="13"/>
        <v/>
      </c>
      <c r="R42" s="212"/>
      <c r="S42" s="228" t="str">
        <f t="shared" si="14"/>
        <v/>
      </c>
      <c r="T42" s="212"/>
      <c r="U42" s="228" t="str">
        <f t="shared" si="15"/>
        <v/>
      </c>
    </row>
    <row r="43" spans="6:21" s="179" customFormat="1" ht="12">
      <c r="F43" s="211"/>
      <c r="G43" s="228" t="str">
        <f t="shared" si="8"/>
        <v/>
      </c>
      <c r="H43" s="212"/>
      <c r="I43" s="228" t="str">
        <f t="shared" si="9"/>
        <v/>
      </c>
      <c r="J43" s="212"/>
      <c r="K43" s="228" t="str">
        <f t="shared" si="10"/>
        <v/>
      </c>
      <c r="L43" s="211"/>
      <c r="M43" s="228" t="str">
        <f t="shared" si="11"/>
        <v/>
      </c>
      <c r="N43" s="212"/>
      <c r="O43" s="228" t="str">
        <f t="shared" si="12"/>
        <v/>
      </c>
      <c r="P43" s="212"/>
      <c r="Q43" s="228" t="str">
        <f t="shared" si="13"/>
        <v/>
      </c>
      <c r="R43" s="212"/>
      <c r="S43" s="228" t="str">
        <f t="shared" si="14"/>
        <v/>
      </c>
      <c r="T43" s="212"/>
      <c r="U43" s="228" t="str">
        <f t="shared" si="15"/>
        <v/>
      </c>
    </row>
    <row r="44" spans="6:21" s="179" customFormat="1" ht="12">
      <c r="F44" s="211"/>
      <c r="G44" s="228" t="str">
        <f t="shared" si="8"/>
        <v/>
      </c>
      <c r="H44" s="212"/>
      <c r="I44" s="228" t="str">
        <f t="shared" si="9"/>
        <v/>
      </c>
      <c r="J44" s="212"/>
      <c r="K44" s="228" t="str">
        <f t="shared" si="10"/>
        <v/>
      </c>
      <c r="L44" s="211"/>
      <c r="M44" s="228" t="str">
        <f t="shared" si="11"/>
        <v/>
      </c>
      <c r="N44" s="212"/>
      <c r="O44" s="228" t="str">
        <f t="shared" si="12"/>
        <v/>
      </c>
      <c r="P44" s="212"/>
      <c r="Q44" s="228" t="str">
        <f t="shared" si="13"/>
        <v/>
      </c>
      <c r="R44" s="212"/>
      <c r="S44" s="228" t="str">
        <f t="shared" si="14"/>
        <v/>
      </c>
      <c r="T44" s="212"/>
      <c r="U44" s="228" t="str">
        <f t="shared" si="15"/>
        <v/>
      </c>
    </row>
    <row r="45" spans="6:21" s="179" customFormat="1" ht="12">
      <c r="F45" s="211"/>
      <c r="G45" s="228" t="str">
        <f t="shared" si="8"/>
        <v/>
      </c>
      <c r="H45" s="212"/>
      <c r="I45" s="228" t="str">
        <f t="shared" si="9"/>
        <v/>
      </c>
      <c r="J45" s="212"/>
      <c r="K45" s="228" t="str">
        <f t="shared" si="10"/>
        <v/>
      </c>
      <c r="L45" s="211"/>
      <c r="M45" s="228" t="str">
        <f t="shared" si="11"/>
        <v/>
      </c>
      <c r="N45" s="212"/>
      <c r="O45" s="228" t="str">
        <f t="shared" si="12"/>
        <v/>
      </c>
      <c r="P45" s="212"/>
      <c r="Q45" s="228" t="str">
        <f t="shared" si="13"/>
        <v/>
      </c>
      <c r="R45" s="212"/>
      <c r="S45" s="228" t="str">
        <f t="shared" si="14"/>
        <v/>
      </c>
      <c r="T45" s="212"/>
      <c r="U45" s="228" t="str">
        <f t="shared" si="15"/>
        <v/>
      </c>
    </row>
    <row r="46" spans="6:21" s="179" customFormat="1" ht="12">
      <c r="F46" s="211"/>
      <c r="G46" s="228" t="str">
        <f t="shared" si="8"/>
        <v/>
      </c>
      <c r="H46" s="212"/>
      <c r="I46" s="228" t="str">
        <f t="shared" si="9"/>
        <v/>
      </c>
      <c r="J46" s="212"/>
      <c r="K46" s="228" t="str">
        <f t="shared" si="10"/>
        <v/>
      </c>
      <c r="L46" s="211"/>
      <c r="M46" s="228" t="str">
        <f t="shared" si="11"/>
        <v/>
      </c>
      <c r="N46" s="212"/>
      <c r="O46" s="228" t="str">
        <f t="shared" si="12"/>
        <v/>
      </c>
      <c r="P46" s="212"/>
      <c r="Q46" s="228" t="str">
        <f t="shared" si="13"/>
        <v/>
      </c>
      <c r="R46" s="212"/>
      <c r="S46" s="228" t="str">
        <f t="shared" si="14"/>
        <v/>
      </c>
      <c r="T46" s="212"/>
      <c r="U46" s="228" t="str">
        <f t="shared" si="15"/>
        <v/>
      </c>
    </row>
    <row r="47" spans="6:21" s="179" customFormat="1" ht="12">
      <c r="F47" s="211"/>
      <c r="G47" s="228" t="str">
        <f t="shared" si="8"/>
        <v/>
      </c>
      <c r="H47" s="212"/>
      <c r="I47" s="228" t="str">
        <f t="shared" si="9"/>
        <v/>
      </c>
      <c r="J47" s="212"/>
      <c r="K47" s="228" t="str">
        <f t="shared" si="10"/>
        <v/>
      </c>
      <c r="L47" s="211"/>
      <c r="M47" s="228" t="str">
        <f t="shared" si="11"/>
        <v/>
      </c>
      <c r="N47" s="212"/>
      <c r="O47" s="228" t="str">
        <f t="shared" si="12"/>
        <v/>
      </c>
      <c r="P47" s="212"/>
      <c r="Q47" s="228" t="str">
        <f t="shared" si="13"/>
        <v/>
      </c>
      <c r="R47" s="212"/>
      <c r="S47" s="228" t="str">
        <f t="shared" si="14"/>
        <v/>
      </c>
      <c r="T47" s="212"/>
      <c r="U47" s="228" t="str">
        <f t="shared" si="15"/>
        <v/>
      </c>
    </row>
    <row r="48" spans="6:21" s="179" customFormat="1" ht="12">
      <c r="F48" s="211"/>
      <c r="G48" s="228" t="str">
        <f t="shared" si="8"/>
        <v/>
      </c>
      <c r="H48" s="212"/>
      <c r="I48" s="228" t="str">
        <f t="shared" si="9"/>
        <v/>
      </c>
      <c r="J48" s="212"/>
      <c r="K48" s="228" t="str">
        <f t="shared" si="10"/>
        <v/>
      </c>
      <c r="L48" s="211"/>
      <c r="M48" s="228" t="str">
        <f t="shared" si="11"/>
        <v/>
      </c>
      <c r="N48" s="212"/>
      <c r="O48" s="228" t="str">
        <f t="shared" si="12"/>
        <v/>
      </c>
      <c r="P48" s="212"/>
      <c r="Q48" s="228" t="str">
        <f t="shared" si="13"/>
        <v/>
      </c>
      <c r="R48" s="212"/>
      <c r="S48" s="228" t="str">
        <f t="shared" si="14"/>
        <v/>
      </c>
      <c r="T48" s="212"/>
      <c r="U48" s="228" t="str">
        <f t="shared" si="15"/>
        <v/>
      </c>
    </row>
    <row r="49" spans="6:21" s="179" customFormat="1" ht="12">
      <c r="F49" s="211"/>
      <c r="G49" s="228" t="str">
        <f t="shared" si="8"/>
        <v/>
      </c>
      <c r="H49" s="212"/>
      <c r="I49" s="228" t="str">
        <f t="shared" si="9"/>
        <v/>
      </c>
      <c r="J49" s="212"/>
      <c r="K49" s="228" t="str">
        <f t="shared" si="10"/>
        <v/>
      </c>
      <c r="L49" s="211"/>
      <c r="M49" s="228" t="str">
        <f t="shared" si="11"/>
        <v/>
      </c>
      <c r="N49" s="212"/>
      <c r="O49" s="228" t="str">
        <f t="shared" si="12"/>
        <v/>
      </c>
      <c r="P49" s="212"/>
      <c r="Q49" s="228" t="str">
        <f t="shared" si="13"/>
        <v/>
      </c>
      <c r="R49" s="212"/>
      <c r="S49" s="228" t="str">
        <f t="shared" si="14"/>
        <v/>
      </c>
      <c r="T49" s="212"/>
      <c r="U49" s="228" t="str">
        <f t="shared" si="15"/>
        <v/>
      </c>
    </row>
    <row r="50" spans="6:21" s="179" customFormat="1" ht="12">
      <c r="F50" s="211"/>
      <c r="G50" s="228" t="str">
        <f t="shared" si="8"/>
        <v/>
      </c>
      <c r="H50" s="212"/>
      <c r="I50" s="228" t="str">
        <f t="shared" si="9"/>
        <v/>
      </c>
      <c r="J50" s="212"/>
      <c r="K50" s="228" t="str">
        <f t="shared" si="10"/>
        <v/>
      </c>
      <c r="L50" s="211"/>
      <c r="M50" s="228" t="str">
        <f t="shared" si="11"/>
        <v/>
      </c>
      <c r="N50" s="212"/>
      <c r="O50" s="228" t="str">
        <f t="shared" si="12"/>
        <v/>
      </c>
      <c r="P50" s="212"/>
      <c r="Q50" s="228" t="str">
        <f t="shared" si="13"/>
        <v/>
      </c>
      <c r="R50" s="212"/>
      <c r="S50" s="228" t="str">
        <f t="shared" si="14"/>
        <v/>
      </c>
      <c r="T50" s="212"/>
      <c r="U50" s="228" t="str">
        <f t="shared" si="15"/>
        <v/>
      </c>
    </row>
    <row r="51" spans="6:21" s="179" customFormat="1" ht="12">
      <c r="F51" s="211"/>
      <c r="G51" s="228" t="str">
        <f t="shared" si="8"/>
        <v/>
      </c>
      <c r="H51" s="212"/>
      <c r="I51" s="228" t="str">
        <f t="shared" si="9"/>
        <v/>
      </c>
      <c r="J51" s="212"/>
      <c r="K51" s="228" t="str">
        <f t="shared" si="10"/>
        <v/>
      </c>
      <c r="L51" s="211"/>
      <c r="M51" s="228" t="str">
        <f t="shared" si="11"/>
        <v/>
      </c>
      <c r="N51" s="212"/>
      <c r="O51" s="228" t="str">
        <f t="shared" si="12"/>
        <v/>
      </c>
      <c r="P51" s="212"/>
      <c r="Q51" s="228" t="str">
        <f t="shared" si="13"/>
        <v/>
      </c>
      <c r="R51" s="212"/>
      <c r="S51" s="228" t="str">
        <f t="shared" si="14"/>
        <v/>
      </c>
      <c r="T51" s="212"/>
      <c r="U51" s="228" t="str">
        <f t="shared" si="15"/>
        <v/>
      </c>
    </row>
    <row r="52" spans="6:21" s="179" customFormat="1" ht="12">
      <c r="F52" s="211"/>
      <c r="G52" s="228" t="str">
        <f t="shared" si="8"/>
        <v/>
      </c>
      <c r="H52" s="212"/>
      <c r="I52" s="228" t="str">
        <f t="shared" si="9"/>
        <v/>
      </c>
      <c r="J52" s="212"/>
      <c r="K52" s="228" t="str">
        <f t="shared" si="10"/>
        <v/>
      </c>
      <c r="L52" s="211"/>
      <c r="M52" s="228" t="str">
        <f t="shared" si="11"/>
        <v/>
      </c>
      <c r="N52" s="212"/>
      <c r="O52" s="228" t="str">
        <f t="shared" si="12"/>
        <v/>
      </c>
      <c r="P52" s="212"/>
      <c r="Q52" s="228" t="str">
        <f t="shared" si="13"/>
        <v/>
      </c>
      <c r="R52" s="212"/>
      <c r="S52" s="228" t="str">
        <f t="shared" si="14"/>
        <v/>
      </c>
      <c r="T52" s="212"/>
      <c r="U52" s="228" t="str">
        <f t="shared" si="15"/>
        <v/>
      </c>
    </row>
    <row r="53" spans="6:21" s="179" customFormat="1" ht="12">
      <c r="F53" s="211"/>
      <c r="G53" s="228" t="str">
        <f t="shared" si="8"/>
        <v/>
      </c>
      <c r="H53" s="212"/>
      <c r="I53" s="228" t="str">
        <f t="shared" si="9"/>
        <v/>
      </c>
      <c r="J53" s="212"/>
      <c r="K53" s="228" t="str">
        <f t="shared" si="10"/>
        <v/>
      </c>
      <c r="L53" s="211"/>
      <c r="M53" s="228" t="str">
        <f t="shared" si="11"/>
        <v/>
      </c>
      <c r="N53" s="212"/>
      <c r="O53" s="228" t="str">
        <f t="shared" si="12"/>
        <v/>
      </c>
      <c r="P53" s="212"/>
      <c r="Q53" s="228" t="str">
        <f t="shared" si="13"/>
        <v/>
      </c>
      <c r="R53" s="212"/>
      <c r="S53" s="228" t="str">
        <f t="shared" si="14"/>
        <v/>
      </c>
      <c r="T53" s="212"/>
      <c r="U53" s="228" t="str">
        <f t="shared" si="15"/>
        <v/>
      </c>
    </row>
    <row r="54" spans="6:21" s="179" customFormat="1" ht="12">
      <c r="F54" s="211"/>
      <c r="G54" s="228" t="str">
        <f t="shared" si="8"/>
        <v/>
      </c>
      <c r="H54" s="212"/>
      <c r="I54" s="228" t="str">
        <f t="shared" si="9"/>
        <v/>
      </c>
      <c r="J54" s="212"/>
      <c r="K54" s="228" t="str">
        <f t="shared" si="10"/>
        <v/>
      </c>
      <c r="L54" s="211"/>
      <c r="M54" s="228" t="str">
        <f t="shared" si="11"/>
        <v/>
      </c>
      <c r="N54" s="212"/>
      <c r="O54" s="228" t="str">
        <f t="shared" si="12"/>
        <v/>
      </c>
      <c r="P54" s="212"/>
      <c r="Q54" s="228" t="str">
        <f t="shared" si="13"/>
        <v/>
      </c>
      <c r="R54" s="212"/>
      <c r="S54" s="228" t="str">
        <f t="shared" si="14"/>
        <v/>
      </c>
      <c r="T54" s="212"/>
      <c r="U54" s="228" t="str">
        <f t="shared" si="15"/>
        <v/>
      </c>
    </row>
    <row r="55" spans="6:21" s="179" customFormat="1" ht="12">
      <c r="F55" s="211"/>
      <c r="G55" s="228" t="str">
        <f t="shared" si="8"/>
        <v/>
      </c>
      <c r="H55" s="212"/>
      <c r="I55" s="228" t="str">
        <f t="shared" si="9"/>
        <v/>
      </c>
      <c r="J55" s="212"/>
      <c r="K55" s="228" t="str">
        <f t="shared" si="10"/>
        <v/>
      </c>
      <c r="L55" s="211"/>
      <c r="M55" s="228" t="str">
        <f t="shared" si="11"/>
        <v/>
      </c>
      <c r="N55" s="212"/>
      <c r="O55" s="228" t="str">
        <f t="shared" si="12"/>
        <v/>
      </c>
      <c r="P55" s="212"/>
      <c r="Q55" s="228" t="str">
        <f t="shared" si="13"/>
        <v/>
      </c>
      <c r="R55" s="212"/>
      <c r="S55" s="228" t="str">
        <f t="shared" si="14"/>
        <v/>
      </c>
      <c r="T55" s="212"/>
      <c r="U55" s="228" t="str">
        <f t="shared" si="15"/>
        <v/>
      </c>
    </row>
    <row r="56" spans="6:21" s="179" customFormat="1" ht="12">
      <c r="F56" s="211"/>
      <c r="G56" s="228" t="str">
        <f t="shared" si="8"/>
        <v/>
      </c>
      <c r="H56" s="212"/>
      <c r="I56" s="228" t="str">
        <f t="shared" si="9"/>
        <v/>
      </c>
      <c r="J56" s="212"/>
      <c r="K56" s="228" t="str">
        <f t="shared" si="10"/>
        <v/>
      </c>
      <c r="L56" s="211"/>
      <c r="M56" s="228" t="str">
        <f t="shared" si="11"/>
        <v/>
      </c>
      <c r="N56" s="212"/>
      <c r="O56" s="228" t="str">
        <f t="shared" si="12"/>
        <v/>
      </c>
      <c r="P56" s="212"/>
      <c r="Q56" s="228" t="str">
        <f t="shared" si="13"/>
        <v/>
      </c>
      <c r="R56" s="212"/>
      <c r="S56" s="228" t="str">
        <f t="shared" si="14"/>
        <v/>
      </c>
      <c r="T56" s="212"/>
      <c r="U56" s="228" t="str">
        <f t="shared" si="15"/>
        <v/>
      </c>
    </row>
    <row r="57" spans="6:21" s="179" customFormat="1" ht="12">
      <c r="F57" s="211"/>
      <c r="G57" s="228" t="str">
        <f t="shared" si="8"/>
        <v/>
      </c>
      <c r="H57" s="212"/>
      <c r="I57" s="228" t="str">
        <f t="shared" si="9"/>
        <v/>
      </c>
      <c r="J57" s="212"/>
      <c r="K57" s="228" t="str">
        <f t="shared" si="10"/>
        <v/>
      </c>
      <c r="L57" s="211"/>
      <c r="M57" s="228" t="str">
        <f t="shared" si="11"/>
        <v/>
      </c>
      <c r="N57" s="212"/>
      <c r="O57" s="228" t="str">
        <f t="shared" si="12"/>
        <v/>
      </c>
      <c r="P57" s="212"/>
      <c r="Q57" s="228" t="str">
        <f t="shared" si="13"/>
        <v/>
      </c>
      <c r="R57" s="212"/>
      <c r="S57" s="228" t="str">
        <f t="shared" si="14"/>
        <v/>
      </c>
      <c r="T57" s="212"/>
      <c r="U57" s="228" t="str">
        <f t="shared" si="15"/>
        <v/>
      </c>
    </row>
    <row r="58" spans="6:21" s="179" customFormat="1" ht="12">
      <c r="F58" s="211"/>
      <c r="G58" s="228" t="str">
        <f t="shared" si="8"/>
        <v/>
      </c>
      <c r="H58" s="212"/>
      <c r="I58" s="228" t="str">
        <f t="shared" si="9"/>
        <v/>
      </c>
      <c r="J58" s="212"/>
      <c r="K58" s="228" t="str">
        <f t="shared" si="10"/>
        <v/>
      </c>
      <c r="L58" s="211"/>
      <c r="M58" s="228" t="str">
        <f t="shared" si="11"/>
        <v/>
      </c>
      <c r="N58" s="212"/>
      <c r="O58" s="228" t="str">
        <f t="shared" si="12"/>
        <v/>
      </c>
      <c r="P58" s="212"/>
      <c r="Q58" s="228" t="str">
        <f t="shared" si="13"/>
        <v/>
      </c>
      <c r="R58" s="212"/>
      <c r="S58" s="228" t="str">
        <f t="shared" si="14"/>
        <v/>
      </c>
      <c r="T58" s="212"/>
      <c r="U58" s="228" t="str">
        <f t="shared" si="15"/>
        <v/>
      </c>
    </row>
    <row r="59" spans="6:21" s="179" customFormat="1" ht="12">
      <c r="F59" s="211"/>
      <c r="G59" s="228" t="str">
        <f t="shared" si="8"/>
        <v/>
      </c>
      <c r="H59" s="212"/>
      <c r="I59" s="228" t="str">
        <f t="shared" si="9"/>
        <v/>
      </c>
      <c r="J59" s="212"/>
      <c r="K59" s="228" t="str">
        <f t="shared" si="10"/>
        <v/>
      </c>
      <c r="L59" s="211"/>
      <c r="M59" s="228" t="str">
        <f t="shared" si="11"/>
        <v/>
      </c>
      <c r="N59" s="212"/>
      <c r="O59" s="228" t="str">
        <f t="shared" si="12"/>
        <v/>
      </c>
      <c r="P59" s="212"/>
      <c r="Q59" s="228" t="str">
        <f t="shared" si="13"/>
        <v/>
      </c>
      <c r="R59" s="212"/>
      <c r="S59" s="228" t="str">
        <f t="shared" si="14"/>
        <v/>
      </c>
      <c r="T59" s="212"/>
      <c r="U59" s="228" t="str">
        <f t="shared" si="15"/>
        <v/>
      </c>
    </row>
    <row r="60" spans="6:21" s="179" customFormat="1" ht="12">
      <c r="F60" s="211"/>
      <c r="G60" s="228" t="str">
        <f t="shared" si="8"/>
        <v/>
      </c>
      <c r="H60" s="212"/>
      <c r="I60" s="228" t="str">
        <f t="shared" si="9"/>
        <v/>
      </c>
      <c r="J60" s="212"/>
      <c r="K60" s="228" t="str">
        <f t="shared" si="10"/>
        <v/>
      </c>
      <c r="L60" s="211"/>
      <c r="M60" s="228" t="str">
        <f t="shared" si="11"/>
        <v/>
      </c>
      <c r="N60" s="212"/>
      <c r="O60" s="228" t="str">
        <f t="shared" si="12"/>
        <v/>
      </c>
      <c r="P60" s="212"/>
      <c r="Q60" s="228" t="str">
        <f t="shared" si="13"/>
        <v/>
      </c>
      <c r="R60" s="212"/>
      <c r="S60" s="228" t="str">
        <f t="shared" si="14"/>
        <v/>
      </c>
      <c r="T60" s="212"/>
      <c r="U60" s="228" t="str">
        <f t="shared" si="15"/>
        <v/>
      </c>
    </row>
    <row r="61" spans="6:21" s="179" customFormat="1" ht="12">
      <c r="F61" s="211"/>
      <c r="G61" s="228" t="str">
        <f t="shared" si="8"/>
        <v/>
      </c>
      <c r="H61" s="212"/>
      <c r="I61" s="228" t="str">
        <f t="shared" si="9"/>
        <v/>
      </c>
      <c r="J61" s="212"/>
      <c r="K61" s="228" t="str">
        <f t="shared" si="10"/>
        <v/>
      </c>
      <c r="L61" s="211"/>
      <c r="M61" s="228" t="str">
        <f t="shared" si="11"/>
        <v/>
      </c>
      <c r="N61" s="212"/>
      <c r="O61" s="228" t="str">
        <f t="shared" si="12"/>
        <v/>
      </c>
      <c r="P61" s="212"/>
      <c r="Q61" s="228" t="str">
        <f t="shared" si="13"/>
        <v/>
      </c>
      <c r="R61" s="212"/>
      <c r="S61" s="228" t="str">
        <f t="shared" si="14"/>
        <v/>
      </c>
      <c r="T61" s="212"/>
      <c r="U61" s="228" t="str">
        <f t="shared" si="15"/>
        <v/>
      </c>
    </row>
    <row r="62" spans="6:21" s="179" customFormat="1" ht="12">
      <c r="F62" s="211"/>
      <c r="G62" s="228" t="str">
        <f t="shared" si="8"/>
        <v/>
      </c>
      <c r="H62" s="212"/>
      <c r="I62" s="228" t="str">
        <f t="shared" si="9"/>
        <v/>
      </c>
      <c r="J62" s="212"/>
      <c r="K62" s="228" t="str">
        <f t="shared" si="10"/>
        <v/>
      </c>
      <c r="L62" s="211"/>
      <c r="M62" s="228" t="str">
        <f t="shared" si="11"/>
        <v/>
      </c>
      <c r="N62" s="212"/>
      <c r="O62" s="228" t="str">
        <f t="shared" si="12"/>
        <v/>
      </c>
      <c r="P62" s="212"/>
      <c r="Q62" s="228" t="str">
        <f t="shared" si="13"/>
        <v/>
      </c>
      <c r="R62" s="212"/>
      <c r="S62" s="228" t="str">
        <f t="shared" si="14"/>
        <v/>
      </c>
      <c r="T62" s="212"/>
      <c r="U62" s="228" t="str">
        <f t="shared" si="15"/>
        <v/>
      </c>
    </row>
    <row r="63" spans="6:21" s="179" customFormat="1" ht="12">
      <c r="F63" s="211"/>
      <c r="G63" s="228" t="str">
        <f t="shared" si="8"/>
        <v/>
      </c>
      <c r="H63" s="212"/>
      <c r="I63" s="228" t="str">
        <f t="shared" si="9"/>
        <v/>
      </c>
      <c r="J63" s="212"/>
      <c r="K63" s="228" t="str">
        <f t="shared" si="10"/>
        <v/>
      </c>
      <c r="L63" s="211"/>
      <c r="M63" s="228" t="str">
        <f t="shared" si="11"/>
        <v/>
      </c>
      <c r="N63" s="212"/>
      <c r="O63" s="228" t="str">
        <f t="shared" si="12"/>
        <v/>
      </c>
      <c r="P63" s="212"/>
      <c r="Q63" s="228" t="str">
        <f t="shared" si="13"/>
        <v/>
      </c>
      <c r="R63" s="212"/>
      <c r="S63" s="228" t="str">
        <f t="shared" si="14"/>
        <v/>
      </c>
      <c r="T63" s="212"/>
      <c r="U63" s="228" t="str">
        <f t="shared" si="15"/>
        <v/>
      </c>
    </row>
    <row r="64" spans="6:21" s="179" customFormat="1" ht="12">
      <c r="F64" s="211"/>
      <c r="G64" s="228" t="str">
        <f t="shared" si="8"/>
        <v/>
      </c>
      <c r="H64" s="212"/>
      <c r="I64" s="228" t="str">
        <f t="shared" si="9"/>
        <v/>
      </c>
      <c r="J64" s="212"/>
      <c r="K64" s="228" t="str">
        <f t="shared" si="10"/>
        <v/>
      </c>
      <c r="L64" s="211"/>
      <c r="M64" s="228" t="str">
        <f t="shared" si="11"/>
        <v/>
      </c>
      <c r="N64" s="212"/>
      <c r="O64" s="228" t="str">
        <f t="shared" si="12"/>
        <v/>
      </c>
      <c r="P64" s="212"/>
      <c r="Q64" s="228" t="str">
        <f t="shared" si="13"/>
        <v/>
      </c>
      <c r="R64" s="212"/>
      <c r="S64" s="228" t="str">
        <f t="shared" si="14"/>
        <v/>
      </c>
      <c r="T64" s="212"/>
      <c r="U64" s="228" t="str">
        <f t="shared" si="15"/>
        <v/>
      </c>
    </row>
    <row r="65" spans="6:21" s="179" customFormat="1" ht="12">
      <c r="F65" s="211"/>
      <c r="G65" s="228" t="str">
        <f t="shared" si="8"/>
        <v/>
      </c>
      <c r="H65" s="212"/>
      <c r="I65" s="228" t="str">
        <f t="shared" si="9"/>
        <v/>
      </c>
      <c r="J65" s="212"/>
      <c r="K65" s="228" t="str">
        <f t="shared" si="10"/>
        <v/>
      </c>
      <c r="L65" s="211"/>
      <c r="M65" s="228" t="str">
        <f t="shared" si="11"/>
        <v/>
      </c>
      <c r="N65" s="212"/>
      <c r="O65" s="228" t="str">
        <f t="shared" si="12"/>
        <v/>
      </c>
      <c r="P65" s="212"/>
      <c r="Q65" s="228" t="str">
        <f t="shared" si="13"/>
        <v/>
      </c>
      <c r="R65" s="212"/>
      <c r="S65" s="228" t="str">
        <f t="shared" si="14"/>
        <v/>
      </c>
      <c r="T65" s="212"/>
      <c r="U65" s="228" t="str">
        <f t="shared" si="15"/>
        <v/>
      </c>
    </row>
    <row r="66" spans="6:21" s="179" customFormat="1" ht="12">
      <c r="F66" s="211"/>
      <c r="G66" s="228" t="str">
        <f t="shared" si="8"/>
        <v/>
      </c>
      <c r="H66" s="212"/>
      <c r="I66" s="228" t="str">
        <f t="shared" si="9"/>
        <v/>
      </c>
      <c r="J66" s="212"/>
      <c r="K66" s="228" t="str">
        <f t="shared" si="10"/>
        <v/>
      </c>
      <c r="L66" s="211"/>
      <c r="M66" s="228" t="str">
        <f t="shared" si="11"/>
        <v/>
      </c>
      <c r="N66" s="212"/>
      <c r="O66" s="228" t="str">
        <f t="shared" si="12"/>
        <v/>
      </c>
      <c r="P66" s="212"/>
      <c r="Q66" s="228" t="str">
        <f t="shared" si="13"/>
        <v/>
      </c>
      <c r="R66" s="212"/>
      <c r="S66" s="228" t="str">
        <f t="shared" si="14"/>
        <v/>
      </c>
      <c r="T66" s="212"/>
      <c r="U66" s="228" t="str">
        <f t="shared" si="15"/>
        <v/>
      </c>
    </row>
    <row r="67" spans="6:21" s="179" customFormat="1" ht="12">
      <c r="F67" s="211"/>
      <c r="G67" s="228" t="str">
        <f t="shared" si="8"/>
        <v/>
      </c>
      <c r="H67" s="212"/>
      <c r="I67" s="228" t="str">
        <f t="shared" si="9"/>
        <v/>
      </c>
      <c r="J67" s="212"/>
      <c r="K67" s="228" t="str">
        <f t="shared" si="10"/>
        <v/>
      </c>
      <c r="L67" s="211"/>
      <c r="M67" s="228" t="str">
        <f t="shared" si="11"/>
        <v/>
      </c>
      <c r="N67" s="212"/>
      <c r="O67" s="228" t="str">
        <f t="shared" si="12"/>
        <v/>
      </c>
      <c r="P67" s="212"/>
      <c r="Q67" s="228" t="str">
        <f t="shared" si="13"/>
        <v/>
      </c>
      <c r="R67" s="212"/>
      <c r="S67" s="228" t="str">
        <f t="shared" si="14"/>
        <v/>
      </c>
      <c r="T67" s="212"/>
      <c r="U67" s="228" t="str">
        <f t="shared" si="15"/>
        <v/>
      </c>
    </row>
    <row r="68" spans="6:21" s="179" customFormat="1" ht="12">
      <c r="F68" s="211"/>
      <c r="G68" s="228" t="str">
        <f t="shared" si="8"/>
        <v/>
      </c>
      <c r="H68" s="212"/>
      <c r="I68" s="228" t="str">
        <f t="shared" si="9"/>
        <v/>
      </c>
      <c r="J68" s="212"/>
      <c r="K68" s="228" t="str">
        <f t="shared" si="10"/>
        <v/>
      </c>
      <c r="L68" s="211"/>
      <c r="M68" s="228" t="str">
        <f t="shared" si="11"/>
        <v/>
      </c>
      <c r="N68" s="212"/>
      <c r="O68" s="228" t="str">
        <f t="shared" si="12"/>
        <v/>
      </c>
      <c r="P68" s="212"/>
      <c r="Q68" s="228" t="str">
        <f t="shared" si="13"/>
        <v/>
      </c>
      <c r="R68" s="212"/>
      <c r="S68" s="228" t="str">
        <f t="shared" si="14"/>
        <v/>
      </c>
      <c r="T68" s="212"/>
      <c r="U68" s="228" t="str">
        <f t="shared" si="15"/>
        <v/>
      </c>
    </row>
    <row r="69" spans="6:21" s="179" customFormat="1" ht="12">
      <c r="F69" s="211"/>
      <c r="G69" s="228" t="str">
        <f t="shared" si="8"/>
        <v/>
      </c>
      <c r="H69" s="212"/>
      <c r="I69" s="228" t="str">
        <f t="shared" si="9"/>
        <v/>
      </c>
      <c r="J69" s="212"/>
      <c r="K69" s="228" t="str">
        <f t="shared" si="10"/>
        <v/>
      </c>
      <c r="L69" s="211"/>
      <c r="M69" s="228" t="str">
        <f t="shared" si="11"/>
        <v/>
      </c>
      <c r="N69" s="212"/>
      <c r="O69" s="228" t="str">
        <f t="shared" si="12"/>
        <v/>
      </c>
      <c r="P69" s="212"/>
      <c r="Q69" s="228" t="str">
        <f t="shared" si="13"/>
        <v/>
      </c>
      <c r="R69" s="212"/>
      <c r="S69" s="228" t="str">
        <f t="shared" si="14"/>
        <v/>
      </c>
      <c r="T69" s="212"/>
      <c r="U69" s="228" t="str">
        <f t="shared" si="15"/>
        <v/>
      </c>
    </row>
    <row r="70" spans="6:21" s="179" customFormat="1" ht="12">
      <c r="F70" s="211"/>
      <c r="G70" s="228" t="str">
        <f t="shared" si="8"/>
        <v/>
      </c>
      <c r="H70" s="212"/>
      <c r="I70" s="228" t="str">
        <f t="shared" si="9"/>
        <v/>
      </c>
      <c r="J70" s="212"/>
      <c r="K70" s="228" t="str">
        <f t="shared" si="10"/>
        <v/>
      </c>
      <c r="L70" s="211"/>
      <c r="M70" s="228" t="str">
        <f t="shared" si="11"/>
        <v/>
      </c>
      <c r="N70" s="212"/>
      <c r="O70" s="228" t="str">
        <f t="shared" si="12"/>
        <v/>
      </c>
      <c r="P70" s="212"/>
      <c r="Q70" s="228" t="str">
        <f t="shared" si="13"/>
        <v/>
      </c>
      <c r="R70" s="212"/>
      <c r="S70" s="228" t="str">
        <f t="shared" si="14"/>
        <v/>
      </c>
      <c r="T70" s="212"/>
      <c r="U70" s="228" t="str">
        <f t="shared" si="15"/>
        <v/>
      </c>
    </row>
    <row r="71" spans="6:21" s="179" customFormat="1" ht="12">
      <c r="F71" s="211"/>
      <c r="G71" s="228" t="str">
        <f t="shared" ref="G71:G102" si="16">IFERROR(RANK(F71,F$7:F$102),"")</f>
        <v/>
      </c>
      <c r="H71" s="212"/>
      <c r="I71" s="228" t="str">
        <f t="shared" ref="I71:I102" si="17">IFERROR(RANK(H71,H$7:H$102),"")</f>
        <v/>
      </c>
      <c r="J71" s="212"/>
      <c r="K71" s="228" t="str">
        <f t="shared" ref="K71:K102" si="18">IFERROR(RANK(J71,J$7:J$102),"")</f>
        <v/>
      </c>
      <c r="L71" s="211"/>
      <c r="M71" s="228" t="str">
        <f t="shared" ref="M71:M102" si="19">IFERROR(RANK(L71,L$7:L$102),"")</f>
        <v/>
      </c>
      <c r="N71" s="212"/>
      <c r="O71" s="228" t="str">
        <f t="shared" ref="O71:O102" si="20">IFERROR(IF(F71&gt;0,RANK(N71,N$7:N$102,1),""),"")</f>
        <v/>
      </c>
      <c r="P71" s="212"/>
      <c r="Q71" s="228" t="str">
        <f t="shared" ref="Q71:Q102" si="21">IFERROR(RANK(P71,P$7:P$102),"")</f>
        <v/>
      </c>
      <c r="R71" s="212"/>
      <c r="S71" s="228" t="str">
        <f t="shared" ref="S71:S102" si="22">IFERROR(IF(F71&gt;0,RANK(R71,R$7:R$102,0),""),"")</f>
        <v/>
      </c>
      <c r="T71" s="212"/>
      <c r="U71" s="228" t="str">
        <f t="shared" ref="U71:U102" si="23">IFERROR(IF(F71&gt;0,RANK(T71,T$7:T$102,0),""),"")</f>
        <v/>
      </c>
    </row>
    <row r="72" spans="6:21" s="179" customFormat="1" ht="12">
      <c r="F72" s="211"/>
      <c r="G72" s="228" t="str">
        <f t="shared" si="16"/>
        <v/>
      </c>
      <c r="H72" s="212"/>
      <c r="I72" s="228" t="str">
        <f t="shared" si="17"/>
        <v/>
      </c>
      <c r="J72" s="212"/>
      <c r="K72" s="228" t="str">
        <f t="shared" si="18"/>
        <v/>
      </c>
      <c r="L72" s="211"/>
      <c r="M72" s="228" t="str">
        <f t="shared" si="19"/>
        <v/>
      </c>
      <c r="N72" s="212"/>
      <c r="O72" s="228" t="str">
        <f t="shared" si="20"/>
        <v/>
      </c>
      <c r="P72" s="212"/>
      <c r="Q72" s="228" t="str">
        <f t="shared" si="21"/>
        <v/>
      </c>
      <c r="R72" s="212"/>
      <c r="S72" s="228" t="str">
        <f t="shared" si="22"/>
        <v/>
      </c>
      <c r="T72" s="212"/>
      <c r="U72" s="228" t="str">
        <f t="shared" si="23"/>
        <v/>
      </c>
    </row>
    <row r="73" spans="6:21" s="179" customFormat="1" ht="12">
      <c r="F73" s="211"/>
      <c r="G73" s="228" t="str">
        <f t="shared" si="16"/>
        <v/>
      </c>
      <c r="H73" s="212"/>
      <c r="I73" s="228" t="str">
        <f t="shared" si="17"/>
        <v/>
      </c>
      <c r="J73" s="212"/>
      <c r="K73" s="228" t="str">
        <f t="shared" si="18"/>
        <v/>
      </c>
      <c r="L73" s="211"/>
      <c r="M73" s="228" t="str">
        <f t="shared" si="19"/>
        <v/>
      </c>
      <c r="N73" s="212"/>
      <c r="O73" s="228" t="str">
        <f t="shared" si="20"/>
        <v/>
      </c>
      <c r="P73" s="212"/>
      <c r="Q73" s="228" t="str">
        <f t="shared" si="21"/>
        <v/>
      </c>
      <c r="R73" s="212"/>
      <c r="S73" s="228" t="str">
        <f t="shared" si="22"/>
        <v/>
      </c>
      <c r="T73" s="212"/>
      <c r="U73" s="228" t="str">
        <f t="shared" si="23"/>
        <v/>
      </c>
    </row>
    <row r="74" spans="6:21" s="179" customFormat="1" ht="12">
      <c r="F74" s="211"/>
      <c r="G74" s="228" t="str">
        <f t="shared" si="16"/>
        <v/>
      </c>
      <c r="H74" s="212"/>
      <c r="I74" s="228" t="str">
        <f t="shared" si="17"/>
        <v/>
      </c>
      <c r="J74" s="212"/>
      <c r="K74" s="228" t="str">
        <f t="shared" si="18"/>
        <v/>
      </c>
      <c r="L74" s="211"/>
      <c r="M74" s="228" t="str">
        <f t="shared" si="19"/>
        <v/>
      </c>
      <c r="N74" s="212"/>
      <c r="O74" s="228" t="str">
        <f t="shared" si="20"/>
        <v/>
      </c>
      <c r="P74" s="212"/>
      <c r="Q74" s="228" t="str">
        <f t="shared" si="21"/>
        <v/>
      </c>
      <c r="R74" s="212"/>
      <c r="S74" s="228" t="str">
        <f t="shared" si="22"/>
        <v/>
      </c>
      <c r="T74" s="212"/>
      <c r="U74" s="228" t="str">
        <f t="shared" si="23"/>
        <v/>
      </c>
    </row>
    <row r="75" spans="6:21" s="179" customFormat="1" ht="12">
      <c r="F75" s="211"/>
      <c r="G75" s="228" t="str">
        <f t="shared" si="16"/>
        <v/>
      </c>
      <c r="H75" s="212"/>
      <c r="I75" s="228" t="str">
        <f t="shared" si="17"/>
        <v/>
      </c>
      <c r="J75" s="212"/>
      <c r="K75" s="228" t="str">
        <f t="shared" si="18"/>
        <v/>
      </c>
      <c r="L75" s="211"/>
      <c r="M75" s="228" t="str">
        <f t="shared" si="19"/>
        <v/>
      </c>
      <c r="N75" s="212"/>
      <c r="O75" s="228" t="str">
        <f t="shared" si="20"/>
        <v/>
      </c>
      <c r="P75" s="212"/>
      <c r="Q75" s="228" t="str">
        <f t="shared" si="21"/>
        <v/>
      </c>
      <c r="R75" s="212"/>
      <c r="S75" s="228" t="str">
        <f t="shared" si="22"/>
        <v/>
      </c>
      <c r="T75" s="212"/>
      <c r="U75" s="228" t="str">
        <f t="shared" si="23"/>
        <v/>
      </c>
    </row>
    <row r="76" spans="6:21" s="179" customFormat="1" ht="12">
      <c r="F76" s="211"/>
      <c r="G76" s="228" t="str">
        <f t="shared" si="16"/>
        <v/>
      </c>
      <c r="H76" s="212"/>
      <c r="I76" s="228" t="str">
        <f t="shared" si="17"/>
        <v/>
      </c>
      <c r="J76" s="212"/>
      <c r="K76" s="228" t="str">
        <f t="shared" si="18"/>
        <v/>
      </c>
      <c r="L76" s="211"/>
      <c r="M76" s="228" t="str">
        <f t="shared" si="19"/>
        <v/>
      </c>
      <c r="N76" s="212"/>
      <c r="O76" s="228" t="str">
        <f t="shared" si="20"/>
        <v/>
      </c>
      <c r="P76" s="212"/>
      <c r="Q76" s="228" t="str">
        <f t="shared" si="21"/>
        <v/>
      </c>
      <c r="R76" s="212"/>
      <c r="S76" s="228" t="str">
        <f t="shared" si="22"/>
        <v/>
      </c>
      <c r="T76" s="212"/>
      <c r="U76" s="228" t="str">
        <f t="shared" si="23"/>
        <v/>
      </c>
    </row>
    <row r="77" spans="6:21" s="179" customFormat="1" ht="12">
      <c r="F77" s="211"/>
      <c r="G77" s="228" t="str">
        <f t="shared" si="16"/>
        <v/>
      </c>
      <c r="H77" s="212"/>
      <c r="I77" s="228" t="str">
        <f t="shared" si="17"/>
        <v/>
      </c>
      <c r="J77" s="212"/>
      <c r="K77" s="228" t="str">
        <f t="shared" si="18"/>
        <v/>
      </c>
      <c r="L77" s="211"/>
      <c r="M77" s="228" t="str">
        <f t="shared" si="19"/>
        <v/>
      </c>
      <c r="N77" s="212"/>
      <c r="O77" s="228" t="str">
        <f t="shared" si="20"/>
        <v/>
      </c>
      <c r="P77" s="212"/>
      <c r="Q77" s="228" t="str">
        <f t="shared" si="21"/>
        <v/>
      </c>
      <c r="R77" s="212"/>
      <c r="S77" s="228" t="str">
        <f t="shared" si="22"/>
        <v/>
      </c>
      <c r="T77" s="212"/>
      <c r="U77" s="228" t="str">
        <f t="shared" si="23"/>
        <v/>
      </c>
    </row>
    <row r="78" spans="6:21" s="179" customFormat="1" ht="12">
      <c r="F78" s="211"/>
      <c r="G78" s="228" t="str">
        <f t="shared" si="16"/>
        <v/>
      </c>
      <c r="H78" s="212"/>
      <c r="I78" s="228" t="str">
        <f t="shared" si="17"/>
        <v/>
      </c>
      <c r="J78" s="212"/>
      <c r="K78" s="228" t="str">
        <f t="shared" si="18"/>
        <v/>
      </c>
      <c r="L78" s="211"/>
      <c r="M78" s="228" t="str">
        <f t="shared" si="19"/>
        <v/>
      </c>
      <c r="N78" s="212"/>
      <c r="O78" s="228" t="str">
        <f t="shared" si="20"/>
        <v/>
      </c>
      <c r="P78" s="212"/>
      <c r="Q78" s="228" t="str">
        <f t="shared" si="21"/>
        <v/>
      </c>
      <c r="R78" s="212"/>
      <c r="S78" s="228" t="str">
        <f t="shared" si="22"/>
        <v/>
      </c>
      <c r="T78" s="212"/>
      <c r="U78" s="228" t="str">
        <f t="shared" si="23"/>
        <v/>
      </c>
    </row>
    <row r="79" spans="6:21" s="179" customFormat="1" ht="12">
      <c r="F79" s="211"/>
      <c r="G79" s="228" t="str">
        <f t="shared" si="16"/>
        <v/>
      </c>
      <c r="H79" s="212"/>
      <c r="I79" s="228" t="str">
        <f t="shared" si="17"/>
        <v/>
      </c>
      <c r="J79" s="212"/>
      <c r="K79" s="228" t="str">
        <f t="shared" si="18"/>
        <v/>
      </c>
      <c r="L79" s="211"/>
      <c r="M79" s="228" t="str">
        <f t="shared" si="19"/>
        <v/>
      </c>
      <c r="N79" s="212"/>
      <c r="O79" s="228" t="str">
        <f t="shared" si="20"/>
        <v/>
      </c>
      <c r="P79" s="212"/>
      <c r="Q79" s="228" t="str">
        <f t="shared" si="21"/>
        <v/>
      </c>
      <c r="R79" s="212"/>
      <c r="S79" s="228" t="str">
        <f t="shared" si="22"/>
        <v/>
      </c>
      <c r="T79" s="212"/>
      <c r="U79" s="228" t="str">
        <f t="shared" si="23"/>
        <v/>
      </c>
    </row>
    <row r="80" spans="6:21" s="179" customFormat="1" ht="12">
      <c r="F80" s="211"/>
      <c r="G80" s="228" t="str">
        <f t="shared" si="16"/>
        <v/>
      </c>
      <c r="H80" s="212"/>
      <c r="I80" s="228" t="str">
        <f t="shared" si="17"/>
        <v/>
      </c>
      <c r="J80" s="212"/>
      <c r="K80" s="228" t="str">
        <f t="shared" si="18"/>
        <v/>
      </c>
      <c r="L80" s="211"/>
      <c r="M80" s="228" t="str">
        <f t="shared" si="19"/>
        <v/>
      </c>
      <c r="N80" s="212"/>
      <c r="O80" s="228" t="str">
        <f t="shared" si="20"/>
        <v/>
      </c>
      <c r="P80" s="212"/>
      <c r="Q80" s="228" t="str">
        <f t="shared" si="21"/>
        <v/>
      </c>
      <c r="R80" s="212"/>
      <c r="S80" s="228" t="str">
        <f t="shared" si="22"/>
        <v/>
      </c>
      <c r="T80" s="212"/>
      <c r="U80" s="228" t="str">
        <f t="shared" si="23"/>
        <v/>
      </c>
    </row>
    <row r="81" spans="6:21" s="179" customFormat="1" ht="12">
      <c r="F81" s="211"/>
      <c r="G81" s="228" t="str">
        <f t="shared" si="16"/>
        <v/>
      </c>
      <c r="H81" s="212"/>
      <c r="I81" s="228" t="str">
        <f t="shared" si="17"/>
        <v/>
      </c>
      <c r="J81" s="212"/>
      <c r="K81" s="228" t="str">
        <f t="shared" si="18"/>
        <v/>
      </c>
      <c r="L81" s="211"/>
      <c r="M81" s="228" t="str">
        <f t="shared" si="19"/>
        <v/>
      </c>
      <c r="N81" s="212"/>
      <c r="O81" s="228" t="str">
        <f t="shared" si="20"/>
        <v/>
      </c>
      <c r="P81" s="212"/>
      <c r="Q81" s="228" t="str">
        <f t="shared" si="21"/>
        <v/>
      </c>
      <c r="R81" s="212"/>
      <c r="S81" s="228" t="str">
        <f t="shared" si="22"/>
        <v/>
      </c>
      <c r="T81" s="212"/>
      <c r="U81" s="228" t="str">
        <f t="shared" si="23"/>
        <v/>
      </c>
    </row>
    <row r="82" spans="6:21" s="179" customFormat="1" ht="12">
      <c r="F82" s="211"/>
      <c r="G82" s="228" t="str">
        <f t="shared" si="16"/>
        <v/>
      </c>
      <c r="H82" s="212"/>
      <c r="I82" s="228" t="str">
        <f t="shared" si="17"/>
        <v/>
      </c>
      <c r="J82" s="212"/>
      <c r="K82" s="228" t="str">
        <f t="shared" si="18"/>
        <v/>
      </c>
      <c r="L82" s="211"/>
      <c r="M82" s="228" t="str">
        <f t="shared" si="19"/>
        <v/>
      </c>
      <c r="N82" s="212"/>
      <c r="O82" s="228" t="str">
        <f t="shared" si="20"/>
        <v/>
      </c>
      <c r="P82" s="212"/>
      <c r="Q82" s="228" t="str">
        <f t="shared" si="21"/>
        <v/>
      </c>
      <c r="R82" s="212"/>
      <c r="S82" s="228" t="str">
        <f t="shared" si="22"/>
        <v/>
      </c>
      <c r="T82" s="212"/>
      <c r="U82" s="228" t="str">
        <f t="shared" si="23"/>
        <v/>
      </c>
    </row>
    <row r="83" spans="6:21" s="179" customFormat="1" ht="12">
      <c r="F83" s="211"/>
      <c r="G83" s="228" t="str">
        <f t="shared" si="16"/>
        <v/>
      </c>
      <c r="H83" s="212"/>
      <c r="I83" s="228" t="str">
        <f t="shared" si="17"/>
        <v/>
      </c>
      <c r="J83" s="212"/>
      <c r="K83" s="228" t="str">
        <f t="shared" si="18"/>
        <v/>
      </c>
      <c r="L83" s="211"/>
      <c r="M83" s="228" t="str">
        <f t="shared" si="19"/>
        <v/>
      </c>
      <c r="N83" s="212"/>
      <c r="O83" s="228" t="str">
        <f t="shared" si="20"/>
        <v/>
      </c>
      <c r="P83" s="212"/>
      <c r="Q83" s="228" t="str">
        <f t="shared" si="21"/>
        <v/>
      </c>
      <c r="R83" s="212"/>
      <c r="S83" s="228" t="str">
        <f t="shared" si="22"/>
        <v/>
      </c>
      <c r="T83" s="212"/>
      <c r="U83" s="228" t="str">
        <f t="shared" si="23"/>
        <v/>
      </c>
    </row>
    <row r="84" spans="6:21" s="179" customFormat="1" ht="12">
      <c r="F84" s="211"/>
      <c r="G84" s="228" t="str">
        <f t="shared" si="16"/>
        <v/>
      </c>
      <c r="H84" s="212"/>
      <c r="I84" s="228" t="str">
        <f t="shared" si="17"/>
        <v/>
      </c>
      <c r="J84" s="212"/>
      <c r="K84" s="228" t="str">
        <f t="shared" si="18"/>
        <v/>
      </c>
      <c r="L84" s="211"/>
      <c r="M84" s="228" t="str">
        <f t="shared" si="19"/>
        <v/>
      </c>
      <c r="N84" s="212"/>
      <c r="O84" s="228" t="str">
        <f t="shared" si="20"/>
        <v/>
      </c>
      <c r="P84" s="212"/>
      <c r="Q84" s="228" t="str">
        <f t="shared" si="21"/>
        <v/>
      </c>
      <c r="R84" s="212"/>
      <c r="S84" s="228" t="str">
        <f t="shared" si="22"/>
        <v/>
      </c>
      <c r="T84" s="212"/>
      <c r="U84" s="228" t="str">
        <f t="shared" si="23"/>
        <v/>
      </c>
    </row>
    <row r="85" spans="6:21" s="179" customFormat="1" ht="12">
      <c r="F85" s="211"/>
      <c r="G85" s="228" t="str">
        <f t="shared" si="16"/>
        <v/>
      </c>
      <c r="H85" s="212"/>
      <c r="I85" s="228" t="str">
        <f t="shared" si="17"/>
        <v/>
      </c>
      <c r="J85" s="212"/>
      <c r="K85" s="228" t="str">
        <f t="shared" si="18"/>
        <v/>
      </c>
      <c r="L85" s="211"/>
      <c r="M85" s="228" t="str">
        <f t="shared" si="19"/>
        <v/>
      </c>
      <c r="N85" s="212"/>
      <c r="O85" s="228" t="str">
        <f t="shared" si="20"/>
        <v/>
      </c>
      <c r="P85" s="212"/>
      <c r="Q85" s="228" t="str">
        <f t="shared" si="21"/>
        <v/>
      </c>
      <c r="R85" s="212"/>
      <c r="S85" s="228" t="str">
        <f t="shared" si="22"/>
        <v/>
      </c>
      <c r="T85" s="212"/>
      <c r="U85" s="228" t="str">
        <f t="shared" si="23"/>
        <v/>
      </c>
    </row>
    <row r="86" spans="6:21" s="179" customFormat="1" ht="12">
      <c r="F86" s="211"/>
      <c r="G86" s="228" t="str">
        <f t="shared" si="16"/>
        <v/>
      </c>
      <c r="H86" s="212"/>
      <c r="I86" s="228" t="str">
        <f t="shared" si="17"/>
        <v/>
      </c>
      <c r="J86" s="212"/>
      <c r="K86" s="228" t="str">
        <f t="shared" si="18"/>
        <v/>
      </c>
      <c r="L86" s="211"/>
      <c r="M86" s="228" t="str">
        <f t="shared" si="19"/>
        <v/>
      </c>
      <c r="N86" s="212"/>
      <c r="O86" s="228" t="str">
        <f t="shared" si="20"/>
        <v/>
      </c>
      <c r="P86" s="212"/>
      <c r="Q86" s="228" t="str">
        <f t="shared" si="21"/>
        <v/>
      </c>
      <c r="R86" s="212"/>
      <c r="S86" s="228" t="str">
        <f t="shared" si="22"/>
        <v/>
      </c>
      <c r="T86" s="212"/>
      <c r="U86" s="228" t="str">
        <f t="shared" si="23"/>
        <v/>
      </c>
    </row>
    <row r="87" spans="6:21" s="179" customFormat="1" ht="12">
      <c r="F87" s="211"/>
      <c r="G87" s="228" t="str">
        <f t="shared" si="16"/>
        <v/>
      </c>
      <c r="H87" s="212"/>
      <c r="I87" s="228" t="str">
        <f t="shared" si="17"/>
        <v/>
      </c>
      <c r="J87" s="212"/>
      <c r="K87" s="228" t="str">
        <f t="shared" si="18"/>
        <v/>
      </c>
      <c r="L87" s="211"/>
      <c r="M87" s="228" t="str">
        <f t="shared" si="19"/>
        <v/>
      </c>
      <c r="N87" s="212"/>
      <c r="O87" s="228" t="str">
        <f t="shared" si="20"/>
        <v/>
      </c>
      <c r="P87" s="212"/>
      <c r="Q87" s="228" t="str">
        <f t="shared" si="21"/>
        <v/>
      </c>
      <c r="R87" s="212"/>
      <c r="S87" s="228" t="str">
        <f t="shared" si="22"/>
        <v/>
      </c>
      <c r="T87" s="212"/>
      <c r="U87" s="228" t="str">
        <f t="shared" si="23"/>
        <v/>
      </c>
    </row>
    <row r="88" spans="6:21" s="179" customFormat="1" ht="12">
      <c r="F88" s="211"/>
      <c r="G88" s="228" t="str">
        <f t="shared" si="16"/>
        <v/>
      </c>
      <c r="H88" s="212"/>
      <c r="I88" s="228" t="str">
        <f t="shared" si="17"/>
        <v/>
      </c>
      <c r="J88" s="212"/>
      <c r="K88" s="228" t="str">
        <f t="shared" si="18"/>
        <v/>
      </c>
      <c r="L88" s="211"/>
      <c r="M88" s="228" t="str">
        <f t="shared" si="19"/>
        <v/>
      </c>
      <c r="N88" s="212"/>
      <c r="O88" s="228" t="str">
        <f t="shared" si="20"/>
        <v/>
      </c>
      <c r="P88" s="212"/>
      <c r="Q88" s="228" t="str">
        <f t="shared" si="21"/>
        <v/>
      </c>
      <c r="R88" s="212"/>
      <c r="S88" s="228" t="str">
        <f t="shared" si="22"/>
        <v/>
      </c>
      <c r="T88" s="212"/>
      <c r="U88" s="228" t="str">
        <f t="shared" si="23"/>
        <v/>
      </c>
    </row>
    <row r="89" spans="6:21" s="179" customFormat="1" ht="12">
      <c r="F89" s="211"/>
      <c r="G89" s="228" t="str">
        <f t="shared" si="16"/>
        <v/>
      </c>
      <c r="H89" s="212"/>
      <c r="I89" s="228" t="str">
        <f t="shared" si="17"/>
        <v/>
      </c>
      <c r="J89" s="212"/>
      <c r="K89" s="228" t="str">
        <f t="shared" si="18"/>
        <v/>
      </c>
      <c r="L89" s="211"/>
      <c r="M89" s="228" t="str">
        <f t="shared" si="19"/>
        <v/>
      </c>
      <c r="N89" s="212"/>
      <c r="O89" s="228" t="str">
        <f t="shared" si="20"/>
        <v/>
      </c>
      <c r="P89" s="212"/>
      <c r="Q89" s="228" t="str">
        <f t="shared" si="21"/>
        <v/>
      </c>
      <c r="R89" s="212"/>
      <c r="S89" s="228" t="str">
        <f t="shared" si="22"/>
        <v/>
      </c>
      <c r="T89" s="212"/>
      <c r="U89" s="228" t="str">
        <f t="shared" si="23"/>
        <v/>
      </c>
    </row>
    <row r="90" spans="6:21" s="179" customFormat="1" ht="12">
      <c r="F90" s="211"/>
      <c r="G90" s="228" t="str">
        <f t="shared" si="16"/>
        <v/>
      </c>
      <c r="H90" s="212"/>
      <c r="I90" s="228" t="str">
        <f t="shared" si="17"/>
        <v/>
      </c>
      <c r="J90" s="212"/>
      <c r="K90" s="228" t="str">
        <f t="shared" si="18"/>
        <v/>
      </c>
      <c r="L90" s="211"/>
      <c r="M90" s="228" t="str">
        <f t="shared" si="19"/>
        <v/>
      </c>
      <c r="N90" s="212"/>
      <c r="O90" s="228" t="str">
        <f t="shared" si="20"/>
        <v/>
      </c>
      <c r="P90" s="212"/>
      <c r="Q90" s="228" t="str">
        <f t="shared" si="21"/>
        <v/>
      </c>
      <c r="R90" s="212"/>
      <c r="S90" s="228" t="str">
        <f t="shared" si="22"/>
        <v/>
      </c>
      <c r="T90" s="212"/>
      <c r="U90" s="228" t="str">
        <f t="shared" si="23"/>
        <v/>
      </c>
    </row>
    <row r="91" spans="6:21" s="179" customFormat="1" ht="12">
      <c r="F91" s="211"/>
      <c r="G91" s="228" t="str">
        <f t="shared" si="16"/>
        <v/>
      </c>
      <c r="H91" s="212"/>
      <c r="I91" s="228" t="str">
        <f t="shared" si="17"/>
        <v/>
      </c>
      <c r="J91" s="212"/>
      <c r="K91" s="228" t="str">
        <f t="shared" si="18"/>
        <v/>
      </c>
      <c r="L91" s="211"/>
      <c r="M91" s="228" t="str">
        <f t="shared" si="19"/>
        <v/>
      </c>
      <c r="N91" s="212"/>
      <c r="O91" s="228" t="str">
        <f t="shared" si="20"/>
        <v/>
      </c>
      <c r="P91" s="212"/>
      <c r="Q91" s="228" t="str">
        <f t="shared" si="21"/>
        <v/>
      </c>
      <c r="R91" s="212"/>
      <c r="S91" s="228" t="str">
        <f t="shared" si="22"/>
        <v/>
      </c>
      <c r="T91" s="212"/>
      <c r="U91" s="228" t="str">
        <f t="shared" si="23"/>
        <v/>
      </c>
    </row>
    <row r="92" spans="6:21" s="179" customFormat="1" ht="12">
      <c r="F92" s="211"/>
      <c r="G92" s="228" t="str">
        <f t="shared" si="16"/>
        <v/>
      </c>
      <c r="H92" s="212"/>
      <c r="I92" s="228" t="str">
        <f t="shared" si="17"/>
        <v/>
      </c>
      <c r="J92" s="212"/>
      <c r="K92" s="228" t="str">
        <f t="shared" si="18"/>
        <v/>
      </c>
      <c r="L92" s="211"/>
      <c r="M92" s="228" t="str">
        <f t="shared" si="19"/>
        <v/>
      </c>
      <c r="N92" s="212"/>
      <c r="O92" s="228" t="str">
        <f t="shared" si="20"/>
        <v/>
      </c>
      <c r="P92" s="212"/>
      <c r="Q92" s="228" t="str">
        <f t="shared" si="21"/>
        <v/>
      </c>
      <c r="R92" s="212"/>
      <c r="S92" s="228" t="str">
        <f t="shared" si="22"/>
        <v/>
      </c>
      <c r="T92" s="212"/>
      <c r="U92" s="228" t="str">
        <f t="shared" si="23"/>
        <v/>
      </c>
    </row>
    <row r="93" spans="6:21" s="179" customFormat="1" ht="12">
      <c r="F93" s="211"/>
      <c r="G93" s="228" t="str">
        <f t="shared" si="16"/>
        <v/>
      </c>
      <c r="H93" s="212"/>
      <c r="I93" s="228" t="str">
        <f t="shared" si="17"/>
        <v/>
      </c>
      <c r="J93" s="212"/>
      <c r="K93" s="228" t="str">
        <f t="shared" si="18"/>
        <v/>
      </c>
      <c r="L93" s="211"/>
      <c r="M93" s="228" t="str">
        <f t="shared" si="19"/>
        <v/>
      </c>
      <c r="N93" s="212"/>
      <c r="O93" s="228" t="str">
        <f t="shared" si="20"/>
        <v/>
      </c>
      <c r="P93" s="212"/>
      <c r="Q93" s="228" t="str">
        <f t="shared" si="21"/>
        <v/>
      </c>
      <c r="R93" s="212"/>
      <c r="S93" s="228" t="str">
        <f t="shared" si="22"/>
        <v/>
      </c>
      <c r="T93" s="212"/>
      <c r="U93" s="228" t="str">
        <f t="shared" si="23"/>
        <v/>
      </c>
    </row>
    <row r="94" spans="6:21" s="179" customFormat="1" ht="12">
      <c r="F94" s="211"/>
      <c r="G94" s="228" t="str">
        <f t="shared" si="16"/>
        <v/>
      </c>
      <c r="H94" s="212"/>
      <c r="I94" s="228" t="str">
        <f t="shared" si="17"/>
        <v/>
      </c>
      <c r="J94" s="212"/>
      <c r="K94" s="228" t="str">
        <f t="shared" si="18"/>
        <v/>
      </c>
      <c r="L94" s="211"/>
      <c r="M94" s="228" t="str">
        <f t="shared" si="19"/>
        <v/>
      </c>
      <c r="N94" s="212"/>
      <c r="O94" s="228" t="str">
        <f t="shared" si="20"/>
        <v/>
      </c>
      <c r="P94" s="212"/>
      <c r="Q94" s="228" t="str">
        <f t="shared" si="21"/>
        <v/>
      </c>
      <c r="R94" s="212"/>
      <c r="S94" s="228" t="str">
        <f t="shared" si="22"/>
        <v/>
      </c>
      <c r="T94" s="212"/>
      <c r="U94" s="228" t="str">
        <f t="shared" si="23"/>
        <v/>
      </c>
    </row>
    <row r="95" spans="6:21" s="179" customFormat="1" ht="12">
      <c r="F95" s="211"/>
      <c r="G95" s="228" t="str">
        <f t="shared" si="16"/>
        <v/>
      </c>
      <c r="H95" s="212"/>
      <c r="I95" s="228" t="str">
        <f t="shared" si="17"/>
        <v/>
      </c>
      <c r="J95" s="212"/>
      <c r="K95" s="228" t="str">
        <f t="shared" si="18"/>
        <v/>
      </c>
      <c r="L95" s="211"/>
      <c r="M95" s="228" t="str">
        <f t="shared" si="19"/>
        <v/>
      </c>
      <c r="N95" s="212"/>
      <c r="O95" s="228" t="str">
        <f t="shared" si="20"/>
        <v/>
      </c>
      <c r="P95" s="212"/>
      <c r="Q95" s="228" t="str">
        <f t="shared" si="21"/>
        <v/>
      </c>
      <c r="R95" s="212"/>
      <c r="S95" s="228" t="str">
        <f t="shared" si="22"/>
        <v/>
      </c>
      <c r="T95" s="212"/>
      <c r="U95" s="228" t="str">
        <f t="shared" si="23"/>
        <v/>
      </c>
    </row>
    <row r="96" spans="6:21" s="179" customFormat="1" ht="12">
      <c r="F96" s="211"/>
      <c r="G96" s="228" t="str">
        <f t="shared" si="16"/>
        <v/>
      </c>
      <c r="H96" s="212"/>
      <c r="I96" s="228" t="str">
        <f t="shared" si="17"/>
        <v/>
      </c>
      <c r="J96" s="212"/>
      <c r="K96" s="228" t="str">
        <f t="shared" si="18"/>
        <v/>
      </c>
      <c r="L96" s="211"/>
      <c r="M96" s="228" t="str">
        <f t="shared" si="19"/>
        <v/>
      </c>
      <c r="N96" s="212"/>
      <c r="O96" s="228" t="str">
        <f t="shared" si="20"/>
        <v/>
      </c>
      <c r="P96" s="212"/>
      <c r="Q96" s="228" t="str">
        <f t="shared" si="21"/>
        <v/>
      </c>
      <c r="R96" s="212"/>
      <c r="S96" s="228" t="str">
        <f t="shared" si="22"/>
        <v/>
      </c>
      <c r="T96" s="212"/>
      <c r="U96" s="228" t="str">
        <f t="shared" si="23"/>
        <v/>
      </c>
    </row>
    <row r="97" spans="6:21" s="179" customFormat="1" ht="12">
      <c r="F97" s="211"/>
      <c r="G97" s="228" t="str">
        <f t="shared" si="16"/>
        <v/>
      </c>
      <c r="H97" s="212"/>
      <c r="I97" s="228" t="str">
        <f t="shared" si="17"/>
        <v/>
      </c>
      <c r="J97" s="212"/>
      <c r="K97" s="228" t="str">
        <f t="shared" si="18"/>
        <v/>
      </c>
      <c r="L97" s="211"/>
      <c r="M97" s="228" t="str">
        <f t="shared" si="19"/>
        <v/>
      </c>
      <c r="N97" s="212"/>
      <c r="O97" s="228" t="str">
        <f t="shared" si="20"/>
        <v/>
      </c>
      <c r="P97" s="212"/>
      <c r="Q97" s="228" t="str">
        <f t="shared" si="21"/>
        <v/>
      </c>
      <c r="R97" s="212"/>
      <c r="S97" s="228" t="str">
        <f t="shared" si="22"/>
        <v/>
      </c>
      <c r="T97" s="212"/>
      <c r="U97" s="228" t="str">
        <f t="shared" si="23"/>
        <v/>
      </c>
    </row>
    <row r="98" spans="6:21" s="179" customFormat="1" ht="12">
      <c r="F98" s="211"/>
      <c r="G98" s="228" t="str">
        <f t="shared" si="16"/>
        <v/>
      </c>
      <c r="H98" s="212"/>
      <c r="I98" s="228" t="str">
        <f t="shared" si="17"/>
        <v/>
      </c>
      <c r="J98" s="212"/>
      <c r="K98" s="228" t="str">
        <f t="shared" si="18"/>
        <v/>
      </c>
      <c r="L98" s="211"/>
      <c r="M98" s="228" t="str">
        <f t="shared" si="19"/>
        <v/>
      </c>
      <c r="N98" s="212"/>
      <c r="O98" s="228" t="str">
        <f t="shared" si="20"/>
        <v/>
      </c>
      <c r="P98" s="212"/>
      <c r="Q98" s="228" t="str">
        <f t="shared" si="21"/>
        <v/>
      </c>
      <c r="R98" s="212"/>
      <c r="S98" s="228" t="str">
        <f t="shared" si="22"/>
        <v/>
      </c>
      <c r="T98" s="212"/>
      <c r="U98" s="228" t="str">
        <f t="shared" si="23"/>
        <v/>
      </c>
    </row>
    <row r="99" spans="6:21" s="179" customFormat="1" ht="12">
      <c r="F99" s="211"/>
      <c r="G99" s="228" t="str">
        <f t="shared" si="16"/>
        <v/>
      </c>
      <c r="H99" s="212"/>
      <c r="I99" s="228" t="str">
        <f t="shared" si="17"/>
        <v/>
      </c>
      <c r="J99" s="212"/>
      <c r="K99" s="228" t="str">
        <f t="shared" si="18"/>
        <v/>
      </c>
      <c r="L99" s="211"/>
      <c r="M99" s="228" t="str">
        <f t="shared" si="19"/>
        <v/>
      </c>
      <c r="N99" s="212"/>
      <c r="O99" s="228" t="str">
        <f t="shared" si="20"/>
        <v/>
      </c>
      <c r="P99" s="212"/>
      <c r="Q99" s="228" t="str">
        <f t="shared" si="21"/>
        <v/>
      </c>
      <c r="R99" s="212"/>
      <c r="S99" s="228" t="str">
        <f t="shared" si="22"/>
        <v/>
      </c>
      <c r="T99" s="212"/>
      <c r="U99" s="228" t="str">
        <f t="shared" si="23"/>
        <v/>
      </c>
    </row>
    <row r="100" spans="6:21" s="179" customFormat="1" ht="12">
      <c r="F100" s="211"/>
      <c r="G100" s="228" t="str">
        <f t="shared" si="16"/>
        <v/>
      </c>
      <c r="H100" s="212"/>
      <c r="I100" s="228" t="str">
        <f t="shared" si="17"/>
        <v/>
      </c>
      <c r="J100" s="212"/>
      <c r="K100" s="228" t="str">
        <f t="shared" si="18"/>
        <v/>
      </c>
      <c r="L100" s="211"/>
      <c r="M100" s="228" t="str">
        <f t="shared" si="19"/>
        <v/>
      </c>
      <c r="N100" s="212"/>
      <c r="O100" s="228" t="str">
        <f t="shared" si="20"/>
        <v/>
      </c>
      <c r="P100" s="212"/>
      <c r="Q100" s="228" t="str">
        <f t="shared" si="21"/>
        <v/>
      </c>
      <c r="R100" s="212"/>
      <c r="S100" s="228" t="str">
        <f t="shared" si="22"/>
        <v/>
      </c>
      <c r="T100" s="212"/>
      <c r="U100" s="228" t="str">
        <f t="shared" si="23"/>
        <v/>
      </c>
    </row>
    <row r="101" spans="6:21" s="179" customFormat="1" ht="12">
      <c r="F101" s="211"/>
      <c r="G101" s="228" t="str">
        <f t="shared" si="16"/>
        <v/>
      </c>
      <c r="H101" s="212"/>
      <c r="I101" s="228" t="str">
        <f t="shared" si="17"/>
        <v/>
      </c>
      <c r="J101" s="212"/>
      <c r="K101" s="228" t="str">
        <f t="shared" si="18"/>
        <v/>
      </c>
      <c r="L101" s="211"/>
      <c r="M101" s="228" t="str">
        <f t="shared" si="19"/>
        <v/>
      </c>
      <c r="N101" s="212"/>
      <c r="O101" s="228" t="str">
        <f t="shared" si="20"/>
        <v/>
      </c>
      <c r="P101" s="212"/>
      <c r="Q101" s="228" t="str">
        <f t="shared" si="21"/>
        <v/>
      </c>
      <c r="R101" s="212"/>
      <c r="S101" s="228" t="str">
        <f t="shared" si="22"/>
        <v/>
      </c>
      <c r="T101" s="212"/>
      <c r="U101" s="228" t="str">
        <f t="shared" si="23"/>
        <v/>
      </c>
    </row>
    <row r="102" spans="6:21" s="179" customFormat="1" ht="12">
      <c r="F102" s="211"/>
      <c r="G102" s="228" t="str">
        <f t="shared" si="16"/>
        <v/>
      </c>
      <c r="H102" s="212"/>
      <c r="I102" s="228" t="str">
        <f t="shared" si="17"/>
        <v/>
      </c>
      <c r="J102" s="212"/>
      <c r="K102" s="228" t="str">
        <f t="shared" si="18"/>
        <v/>
      </c>
      <c r="L102" s="211"/>
      <c r="M102" s="228" t="str">
        <f t="shared" si="19"/>
        <v/>
      </c>
      <c r="N102" s="212"/>
      <c r="O102" s="228" t="str">
        <f t="shared" si="20"/>
        <v/>
      </c>
      <c r="P102" s="212"/>
      <c r="Q102" s="228" t="str">
        <f t="shared" si="21"/>
        <v/>
      </c>
      <c r="R102" s="212"/>
      <c r="S102" s="228" t="str">
        <f t="shared" si="22"/>
        <v/>
      </c>
      <c r="T102" s="212"/>
      <c r="U102" s="228" t="str">
        <f t="shared" si="23"/>
        <v/>
      </c>
    </row>
    <row r="103" spans="6:21" s="179" customFormat="1" ht="12">
      <c r="F103" s="211"/>
      <c r="G103" s="228" t="str">
        <f>IFERROR(RANK(F103,F$7:F$102),"")</f>
        <v/>
      </c>
      <c r="H103" s="212"/>
      <c r="I103" s="228" t="str">
        <f>IFERROR(RANK(H103,H$7:H$102),"")</f>
        <v/>
      </c>
      <c r="J103" s="212"/>
      <c r="K103" s="228" t="str">
        <f>IFERROR(RANK(J103,J$7:J$102),"")</f>
        <v/>
      </c>
      <c r="L103" s="211"/>
      <c r="M103" s="228" t="str">
        <f>IFERROR(RANK(L103,L$7:L$102),"")</f>
        <v/>
      </c>
      <c r="N103" s="212"/>
      <c r="O103" s="228" t="str">
        <f>IFERROR(IF(F103&gt;0,RANK(N103,N$7:N$102,1),""),"")</f>
        <v/>
      </c>
      <c r="P103" s="212"/>
      <c r="Q103" s="228" t="str">
        <f>IFERROR(RANK(P103,P$7:P$102),"")</f>
        <v/>
      </c>
      <c r="R103" s="212"/>
      <c r="S103" s="228" t="str">
        <f>IFERROR(IF(F103&gt;0,RANK(R103,R$7:R$102,0),""),"")</f>
        <v/>
      </c>
      <c r="T103" s="212"/>
      <c r="U103" s="228" t="str">
        <f>IFERROR(IF(F103&gt;0,RANK(T103,T$7:T$102,0),""),"")</f>
        <v/>
      </c>
    </row>
  </sheetData>
  <sheetProtection sheet="1" objects="1" scenarios="1"/>
  <sortState ref="C7:U103">
    <sortCondition descending="1" ref="T7:T103"/>
  </sortState>
  <mergeCells count="10">
    <mergeCell ref="C5:D5"/>
    <mergeCell ref="F1:Z2"/>
    <mergeCell ref="F4:G4"/>
    <mergeCell ref="H4:I4"/>
    <mergeCell ref="J4:K4"/>
    <mergeCell ref="L4:M4"/>
    <mergeCell ref="N4:O4"/>
    <mergeCell ref="P4:Q4"/>
    <mergeCell ref="R4:S4"/>
    <mergeCell ref="T4:U4"/>
  </mergeCells>
  <conditionalFormatting sqref="G6">
    <cfRule type="colorScale" priority="24">
      <colorScale>
        <cfvo type="min"/>
        <cfvo type="percentile" val="50"/>
        <cfvo type="max"/>
        <color theme="4" tint="0.79998168889431442"/>
        <color theme="4" tint="0.59999389629810485"/>
        <color theme="4" tint="0.39997558519241921"/>
      </colorScale>
    </cfRule>
  </conditionalFormatting>
  <conditionalFormatting sqref="K6">
    <cfRule type="colorScale" priority="23">
      <colorScale>
        <cfvo type="min"/>
        <cfvo type="percentile" val="50"/>
        <cfvo type="max"/>
        <color theme="4" tint="0.79998168889431442"/>
        <color theme="4" tint="0.59999389629810485"/>
        <color theme="4" tint="0.39997558519241921"/>
      </colorScale>
    </cfRule>
  </conditionalFormatting>
  <conditionalFormatting sqref="M6">
    <cfRule type="colorScale" priority="22">
      <colorScale>
        <cfvo type="min"/>
        <cfvo type="percentile" val="50"/>
        <cfvo type="max"/>
        <color theme="4" tint="0.79998168889431442"/>
        <color theme="4" tint="0.59999389629810485"/>
        <color theme="4" tint="0.39997558519241921"/>
      </colorScale>
    </cfRule>
  </conditionalFormatting>
  <conditionalFormatting sqref="O6">
    <cfRule type="colorScale" priority="21">
      <colorScale>
        <cfvo type="min"/>
        <cfvo type="percentile" val="50"/>
        <cfvo type="max"/>
        <color theme="4" tint="0.79998168889431442"/>
        <color theme="4" tint="0.59999389629810485"/>
        <color theme="4" tint="0.39997558519241921"/>
      </colorScale>
    </cfRule>
  </conditionalFormatting>
  <conditionalFormatting sqref="Q6">
    <cfRule type="colorScale" priority="20">
      <colorScale>
        <cfvo type="min"/>
        <cfvo type="percentile" val="50"/>
        <cfvo type="max"/>
        <color theme="4" tint="0.79998168889431442"/>
        <color theme="4" tint="0.59999389629810485"/>
        <color theme="4" tint="0.39997558519241921"/>
      </colorScale>
    </cfRule>
  </conditionalFormatting>
  <conditionalFormatting sqref="S6">
    <cfRule type="colorScale" priority="19">
      <colorScale>
        <cfvo type="min"/>
        <cfvo type="percentile" val="50"/>
        <cfvo type="max"/>
        <color theme="4" tint="0.79998168889431442"/>
        <color theme="4" tint="0.59999389629810485"/>
        <color theme="4" tint="0.39997558519241921"/>
      </colorScale>
    </cfRule>
  </conditionalFormatting>
  <conditionalFormatting sqref="U6">
    <cfRule type="colorScale" priority="18">
      <colorScale>
        <cfvo type="min"/>
        <cfvo type="percentile" val="50"/>
        <cfvo type="max"/>
        <color theme="4" tint="0.79998168889431442"/>
        <color theme="4" tint="0.59999389629810485"/>
        <color theme="4" tint="0.39997558519241921"/>
      </colorScale>
    </cfRule>
  </conditionalFormatting>
  <conditionalFormatting sqref="I6">
    <cfRule type="colorScale" priority="17">
      <colorScale>
        <cfvo type="min"/>
        <cfvo type="percentile" val="50"/>
        <cfvo type="max"/>
        <color theme="4" tint="0.79998168889431442"/>
        <color theme="4" tint="0.59999389629810485"/>
        <color theme="4" tint="0.39997558519241921"/>
      </colorScale>
    </cfRule>
  </conditionalFormatting>
  <conditionalFormatting sqref="G7:G102">
    <cfRule type="colorScale" priority="16">
      <colorScale>
        <cfvo type="min"/>
        <cfvo type="percentile" val="50"/>
        <cfvo type="max"/>
        <color theme="4" tint="0.79998168889431442"/>
        <color theme="4" tint="0.59999389629810485"/>
        <color theme="4" tint="0.39997558519241921"/>
      </colorScale>
    </cfRule>
  </conditionalFormatting>
  <conditionalFormatting sqref="K7:K102">
    <cfRule type="colorScale" priority="15">
      <colorScale>
        <cfvo type="min"/>
        <cfvo type="percentile" val="50"/>
        <cfvo type="max"/>
        <color theme="4" tint="0.79998168889431442"/>
        <color theme="4" tint="0.59999389629810485"/>
        <color theme="4" tint="0.39997558519241921"/>
      </colorScale>
    </cfRule>
  </conditionalFormatting>
  <conditionalFormatting sqref="M7:M102">
    <cfRule type="colorScale" priority="14">
      <colorScale>
        <cfvo type="min"/>
        <cfvo type="percentile" val="50"/>
        <cfvo type="max"/>
        <color theme="4" tint="0.79998168889431442"/>
        <color theme="4" tint="0.59999389629810485"/>
        <color theme="4" tint="0.39997558519241921"/>
      </colorScale>
    </cfRule>
  </conditionalFormatting>
  <conditionalFormatting sqref="O7:O102">
    <cfRule type="colorScale" priority="13">
      <colorScale>
        <cfvo type="min"/>
        <cfvo type="percentile" val="50"/>
        <cfvo type="max"/>
        <color theme="4" tint="0.79998168889431442"/>
        <color theme="4" tint="0.59999389629810485"/>
        <color theme="4" tint="0.39997558519241921"/>
      </colorScale>
    </cfRule>
  </conditionalFormatting>
  <conditionalFormatting sqref="Q7:Q102">
    <cfRule type="colorScale" priority="12">
      <colorScale>
        <cfvo type="min"/>
        <cfvo type="percentile" val="50"/>
        <cfvo type="max"/>
        <color theme="4" tint="0.79998168889431442"/>
        <color theme="4" tint="0.59999389629810485"/>
        <color theme="4" tint="0.39997558519241921"/>
      </colorScale>
    </cfRule>
  </conditionalFormatting>
  <conditionalFormatting sqref="S7:S102">
    <cfRule type="colorScale" priority="11">
      <colorScale>
        <cfvo type="min"/>
        <cfvo type="percentile" val="50"/>
        <cfvo type="max"/>
        <color theme="4" tint="0.79998168889431442"/>
        <color theme="4" tint="0.59999389629810485"/>
        <color theme="4" tint="0.39997558519241921"/>
      </colorScale>
    </cfRule>
  </conditionalFormatting>
  <conditionalFormatting sqref="U7:U102">
    <cfRule type="colorScale" priority="10">
      <colorScale>
        <cfvo type="min"/>
        <cfvo type="percentile" val="50"/>
        <cfvo type="max"/>
        <color theme="4" tint="0.79998168889431442"/>
        <color theme="4" tint="0.59999389629810485"/>
        <color theme="4" tint="0.39997558519241921"/>
      </colorScale>
    </cfRule>
  </conditionalFormatting>
  <conditionalFormatting sqref="I7:I102">
    <cfRule type="colorScale" priority="9">
      <colorScale>
        <cfvo type="min"/>
        <cfvo type="percentile" val="50"/>
        <cfvo type="max"/>
        <color theme="4" tint="0.79998168889431442"/>
        <color theme="4" tint="0.59999389629810485"/>
        <color theme="4" tint="0.39997558519241921"/>
      </colorScale>
    </cfRule>
  </conditionalFormatting>
  <conditionalFormatting sqref="G103">
    <cfRule type="colorScale" priority="8">
      <colorScale>
        <cfvo type="min"/>
        <cfvo type="percentile" val="50"/>
        <cfvo type="max"/>
        <color theme="4" tint="0.79998168889431442"/>
        <color theme="4" tint="0.59999389629810485"/>
        <color theme="4" tint="0.39997558519241921"/>
      </colorScale>
    </cfRule>
  </conditionalFormatting>
  <conditionalFormatting sqref="K103">
    <cfRule type="colorScale" priority="7">
      <colorScale>
        <cfvo type="min"/>
        <cfvo type="percentile" val="50"/>
        <cfvo type="max"/>
        <color theme="4" tint="0.79998168889431442"/>
        <color theme="4" tint="0.59999389629810485"/>
        <color theme="4" tint="0.39997558519241921"/>
      </colorScale>
    </cfRule>
  </conditionalFormatting>
  <conditionalFormatting sqref="M103">
    <cfRule type="colorScale" priority="6">
      <colorScale>
        <cfvo type="min"/>
        <cfvo type="percentile" val="50"/>
        <cfvo type="max"/>
        <color theme="4" tint="0.79998168889431442"/>
        <color theme="4" tint="0.59999389629810485"/>
        <color theme="4" tint="0.39997558519241921"/>
      </colorScale>
    </cfRule>
  </conditionalFormatting>
  <conditionalFormatting sqref="O103">
    <cfRule type="colorScale" priority="5">
      <colorScale>
        <cfvo type="min"/>
        <cfvo type="percentile" val="50"/>
        <cfvo type="max"/>
        <color theme="4" tint="0.79998168889431442"/>
        <color theme="4" tint="0.59999389629810485"/>
        <color theme="4" tint="0.39997558519241921"/>
      </colorScale>
    </cfRule>
  </conditionalFormatting>
  <conditionalFormatting sqref="Q103">
    <cfRule type="colorScale" priority="4">
      <colorScale>
        <cfvo type="min"/>
        <cfvo type="percentile" val="50"/>
        <cfvo type="max"/>
        <color theme="4" tint="0.79998168889431442"/>
        <color theme="4" tint="0.59999389629810485"/>
        <color theme="4" tint="0.39997558519241921"/>
      </colorScale>
    </cfRule>
  </conditionalFormatting>
  <conditionalFormatting sqref="S103">
    <cfRule type="colorScale" priority="3">
      <colorScale>
        <cfvo type="min"/>
        <cfvo type="percentile" val="50"/>
        <cfvo type="max"/>
        <color theme="4" tint="0.79998168889431442"/>
        <color theme="4" tint="0.59999389629810485"/>
        <color theme="4" tint="0.39997558519241921"/>
      </colorScale>
    </cfRule>
  </conditionalFormatting>
  <conditionalFormatting sqref="U103">
    <cfRule type="colorScale" priority="2">
      <colorScale>
        <cfvo type="min"/>
        <cfvo type="percentile" val="50"/>
        <cfvo type="max"/>
        <color theme="4" tint="0.79998168889431442"/>
        <color theme="4" tint="0.59999389629810485"/>
        <color theme="4" tint="0.39997558519241921"/>
      </colorScale>
    </cfRule>
  </conditionalFormatting>
  <conditionalFormatting sqref="I103">
    <cfRule type="colorScale" priority="1">
      <colorScale>
        <cfvo type="min"/>
        <cfvo type="percentile" val="50"/>
        <cfvo type="max"/>
        <color theme="4" tint="0.79998168889431442"/>
        <color theme="4" tint="0.59999389629810485"/>
        <color theme="4" tint="0.39997558519241921"/>
      </colorScale>
    </cfRule>
  </conditionalFormatting>
  <pageMargins left="0.17" right="0.16" top="0.74803149606299213" bottom="0.74803149606299213" header="0.31496062992125984" footer="0.31496062992125984"/>
  <pageSetup paperSize="9" scale="69" fitToHeight="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Spinner 1">
              <controlPr defaultSize="0" autoPict="0" macro="[0]!GetAllStores">
                <anchor moveWithCells="1" sizeWithCells="1">
                  <from>
                    <xdr:col>4</xdr:col>
                    <xdr:colOff>9525</xdr:colOff>
                    <xdr:row>7</xdr:row>
                    <xdr:rowOff>0</xdr:rowOff>
                  </from>
                  <to>
                    <xdr:col>4</xdr:col>
                    <xdr:colOff>219075</xdr:colOff>
                    <xdr:row>7</xdr:row>
                    <xdr:rowOff>0</xdr:rowOff>
                  </to>
                </anchor>
              </controlPr>
            </control>
          </mc:Choice>
        </mc:AlternateContent>
        <mc:AlternateContent xmlns:mc="http://schemas.openxmlformats.org/markup-compatibility/2006">
          <mc:Choice Requires="x14">
            <control shapeId="21506" r:id="rId5" name="Spinner 2">
              <controlPr defaultSize="0" autoPict="0" macro="[0]!GetAllStores_NærYTD">
                <anchor moveWithCells="1" sizeWithCells="1">
                  <from>
                    <xdr:col>4</xdr:col>
                    <xdr:colOff>19050</xdr:colOff>
                    <xdr:row>0</xdr:row>
                    <xdr:rowOff>285750</xdr:rowOff>
                  </from>
                  <to>
                    <xdr:col>4</xdr:col>
                    <xdr:colOff>228600</xdr:colOff>
                    <xdr:row>2</xdr:row>
                    <xdr:rowOff>9525</xdr:rowOff>
                  </to>
                </anchor>
              </controlPr>
            </control>
          </mc:Choice>
        </mc:AlternateContent>
        <mc:AlternateContent xmlns:mc="http://schemas.openxmlformats.org/markup-compatibility/2006">
          <mc:Choice Requires="x14">
            <control shapeId="21507" r:id="rId6" name="Button 3">
              <controlPr defaultSize="0" print="0" autoFill="0" autoPict="0" macro="[0]!GetAllStores_NærYTD">
                <anchor moveWithCells="1" sizeWithCells="1">
                  <from>
                    <xdr:col>2</xdr:col>
                    <xdr:colOff>19050</xdr:colOff>
                    <xdr:row>0</xdr:row>
                    <xdr:rowOff>38100</xdr:rowOff>
                  </from>
                  <to>
                    <xdr:col>3</xdr:col>
                    <xdr:colOff>723900</xdr:colOff>
                    <xdr:row>0</xdr:row>
                    <xdr:rowOff>247650</xdr:rowOff>
                  </to>
                </anchor>
              </controlPr>
            </control>
          </mc:Choice>
        </mc:AlternateContent>
        <mc:AlternateContent xmlns:mc="http://schemas.openxmlformats.org/markup-compatibility/2006">
          <mc:Choice Requires="x14">
            <control shapeId="21508" r:id="rId7" name="Button 4">
              <controlPr defaultSize="0" print="0" autoFill="0" autoPict="0" macro="[0]!login">
                <anchor moveWithCells="1" sizeWithCells="1">
                  <from>
                    <xdr:col>3</xdr:col>
                    <xdr:colOff>723900</xdr:colOff>
                    <xdr:row>0</xdr:row>
                    <xdr:rowOff>38100</xdr:rowOff>
                  </from>
                  <to>
                    <xdr:col>4</xdr:col>
                    <xdr:colOff>419100</xdr:colOff>
                    <xdr:row>0</xdr:row>
                    <xdr:rowOff>247650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A5"/>
  <sheetViews>
    <sheetView topLeftCell="C1" zoomScaleNormal="100" workbookViewId="0">
      <selection activeCell="C6" sqref="C6"/>
    </sheetView>
  </sheetViews>
  <sheetFormatPr baseColWidth="10" defaultColWidth="9.140625" defaultRowHeight="15"/>
  <cols>
    <col min="1" max="2" width="0" hidden="1" customWidth="1"/>
    <col min="3" max="3" width="7" bestFit="1" customWidth="1"/>
    <col min="4" max="4" width="17.140625" customWidth="1"/>
  </cols>
  <sheetData>
    <row r="1" spans="1:27" ht="24" customHeight="1">
      <c r="A1" s="80"/>
      <c r="B1" s="77"/>
      <c r="C1" s="79"/>
      <c r="D1" s="79"/>
      <c r="E1" s="81"/>
      <c r="F1" s="210"/>
      <c r="G1" s="210"/>
      <c r="H1" s="210"/>
      <c r="I1" s="210"/>
      <c r="J1" s="903" t="s">
        <v>48</v>
      </c>
      <c r="K1" s="903"/>
      <c r="L1" s="903"/>
      <c r="M1" s="903"/>
      <c r="N1" s="903"/>
      <c r="O1" s="903"/>
      <c r="P1" s="903"/>
      <c r="Q1" s="903"/>
      <c r="R1" s="903"/>
      <c r="S1" s="903"/>
      <c r="T1" s="903"/>
      <c r="U1" s="903"/>
      <c r="V1" s="903"/>
      <c r="W1" s="903"/>
      <c r="X1" s="903"/>
      <c r="Y1" s="210"/>
      <c r="Z1" s="210"/>
      <c r="AA1" s="77"/>
    </row>
    <row r="2" spans="1:27" ht="15.75" customHeight="1">
      <c r="C2" s="87" t="s">
        <v>0</v>
      </c>
      <c r="D2" s="88">
        <v>34</v>
      </c>
      <c r="E2" s="77"/>
      <c r="F2" s="215"/>
      <c r="G2" s="216"/>
      <c r="H2" s="216"/>
      <c r="I2" s="216"/>
      <c r="J2" s="903"/>
      <c r="K2" s="903"/>
      <c r="L2" s="903"/>
      <c r="M2" s="903"/>
      <c r="N2" s="903"/>
      <c r="O2" s="903"/>
      <c r="P2" s="903"/>
      <c r="Q2" s="903"/>
      <c r="R2" s="903"/>
      <c r="S2" s="903"/>
      <c r="T2" s="903"/>
      <c r="U2" s="903"/>
      <c r="V2" s="903"/>
      <c r="W2" s="903"/>
      <c r="X2" s="903"/>
      <c r="Y2" s="216"/>
      <c r="Z2" s="216"/>
      <c r="AA2" s="77"/>
    </row>
    <row r="3" spans="1:27" ht="24" customHeight="1">
      <c r="A3" s="80"/>
      <c r="B3" s="77"/>
      <c r="C3" s="79"/>
      <c r="D3" s="79"/>
      <c r="E3" s="81"/>
      <c r="F3" s="210"/>
      <c r="G3" s="210"/>
      <c r="H3" s="210"/>
      <c r="I3" s="210"/>
      <c r="J3" s="210"/>
      <c r="K3" s="210"/>
      <c r="L3" s="210"/>
      <c r="M3" s="210"/>
      <c r="N3" s="210"/>
      <c r="O3" s="210"/>
      <c r="P3" s="210"/>
      <c r="Q3" s="210"/>
      <c r="R3" s="210"/>
      <c r="S3" s="210"/>
      <c r="T3" s="210"/>
      <c r="U3" s="210"/>
      <c r="V3" s="210"/>
      <c r="W3" s="210"/>
      <c r="X3" s="210"/>
      <c r="Y3" s="210"/>
      <c r="Z3" s="210"/>
      <c r="AA3" s="77"/>
    </row>
    <row r="4" spans="1:27" ht="24" customHeight="1">
      <c r="A4" s="80"/>
      <c r="B4" s="77"/>
      <c r="C4" s="79" t="str">
        <f>sysX!A2</f>
        <v>4301</v>
      </c>
      <c r="D4" s="79" t="str">
        <f>sysX!A4</f>
        <v>BERJASEN</v>
      </c>
      <c r="E4" s="81" t="str">
        <f>sysX!A6</f>
        <v>2019</v>
      </c>
      <c r="F4" s="210"/>
      <c r="G4" s="216"/>
      <c r="H4" s="216"/>
      <c r="I4" s="216"/>
      <c r="J4" s="216"/>
      <c r="K4" s="216"/>
      <c r="L4" s="216"/>
      <c r="M4" s="216"/>
      <c r="N4" s="216"/>
      <c r="O4" s="216"/>
      <c r="P4" s="216"/>
      <c r="Q4" s="216"/>
      <c r="R4" s="216"/>
      <c r="S4" s="216"/>
      <c r="T4" s="216"/>
      <c r="U4" s="216"/>
      <c r="V4" s="216"/>
      <c r="W4" s="216"/>
      <c r="X4" s="216"/>
      <c r="Y4" s="216"/>
      <c r="Z4" s="216"/>
      <c r="AA4" s="77"/>
    </row>
    <row r="5" spans="1:27" s="3" customFormat="1">
      <c r="A5" s="213"/>
      <c r="B5" s="213"/>
      <c r="C5" s="214" t="s">
        <v>0</v>
      </c>
      <c r="D5" s="214" t="s">
        <v>41</v>
      </c>
      <c r="E5" s="214"/>
      <c r="F5" s="935" t="s">
        <v>29</v>
      </c>
      <c r="G5" s="936"/>
      <c r="H5" s="937" t="s">
        <v>5</v>
      </c>
      <c r="I5" s="938"/>
      <c r="J5" s="935" t="s">
        <v>47</v>
      </c>
      <c r="K5" s="936"/>
      <c r="L5" s="937" t="s">
        <v>46</v>
      </c>
      <c r="M5" s="938"/>
      <c r="N5" s="937" t="s">
        <v>6</v>
      </c>
      <c r="O5" s="938"/>
      <c r="P5" s="937" t="s">
        <v>7</v>
      </c>
      <c r="Q5" s="938"/>
      <c r="R5" s="937" t="s">
        <v>50</v>
      </c>
      <c r="S5" s="938"/>
      <c r="T5" s="214"/>
      <c r="U5" s="214"/>
      <c r="V5" s="214"/>
      <c r="W5" s="214"/>
      <c r="X5" s="214"/>
      <c r="Y5" s="214"/>
      <c r="Z5" s="214"/>
      <c r="AA5" s="214"/>
    </row>
  </sheetData>
  <sheetProtection sheet="1" objects="1" scenarios="1"/>
  <mergeCells count="8">
    <mergeCell ref="J1:X2"/>
    <mergeCell ref="F5:G5"/>
    <mergeCell ref="H5:I5"/>
    <mergeCell ref="J5:K5"/>
    <mergeCell ref="L5:M5"/>
    <mergeCell ref="N5:O5"/>
    <mergeCell ref="P5:Q5"/>
    <mergeCell ref="R5:S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Spinner 1">
              <controlPr defaultSize="0" autoPict="0">
                <anchor moveWithCells="1" sizeWithCells="1">
                  <from>
                    <xdr:col>4</xdr:col>
                    <xdr:colOff>19050</xdr:colOff>
                    <xdr:row>0</xdr:row>
                    <xdr:rowOff>285750</xdr:rowOff>
                  </from>
                  <to>
                    <xdr:col>4</xdr:col>
                    <xdr:colOff>228600</xdr:colOff>
                    <xdr:row>2</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MyBenchHist">
                <anchor moveWithCells="1" sizeWithCells="1">
                  <from>
                    <xdr:col>4</xdr:col>
                    <xdr:colOff>133350</xdr:colOff>
                    <xdr:row>0</xdr:row>
                    <xdr:rowOff>57150</xdr:rowOff>
                  </from>
                  <to>
                    <xdr:col>6</xdr:col>
                    <xdr:colOff>152400</xdr:colOff>
                    <xdr:row>0</xdr:row>
                    <xdr:rowOff>266700</xdr:rowOff>
                  </to>
                </anchor>
              </controlPr>
            </control>
          </mc:Choice>
        </mc:AlternateContent>
        <mc:AlternateContent xmlns:mc="http://schemas.openxmlformats.org/markup-compatibility/2006">
          <mc:Choice Requires="x14">
            <control shapeId="13315" r:id="rId6" name="Button 3">
              <controlPr defaultSize="0" print="0" autoFill="0" autoPict="0" macro="[0]!login">
                <anchor moveWithCells="1" sizeWithCells="1">
                  <from>
                    <xdr:col>6</xdr:col>
                    <xdr:colOff>152400</xdr:colOff>
                    <xdr:row>0</xdr:row>
                    <xdr:rowOff>57150</xdr:rowOff>
                  </from>
                  <to>
                    <xdr:col>8</xdr:col>
                    <xdr:colOff>304800</xdr:colOff>
                    <xdr:row>0</xdr:row>
                    <xdr:rowOff>266700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AB57"/>
  <sheetViews>
    <sheetView zoomScaleNormal="100" workbookViewId="0">
      <selection activeCell="D48" sqref="D48"/>
    </sheetView>
  </sheetViews>
  <sheetFormatPr baseColWidth="10" defaultColWidth="9.140625" defaultRowHeight="15"/>
  <cols>
    <col min="1" max="1" width="5.5703125" bestFit="1" customWidth="1"/>
    <col min="2" max="4" width="11.7109375" style="2" bestFit="1" customWidth="1"/>
    <col min="5" max="5" width="6.5703125" style="2" customWidth="1"/>
    <col min="6" max="6" width="11.7109375" style="2" bestFit="1" customWidth="1"/>
    <col min="7" max="7" width="14.7109375" style="2" bestFit="1" customWidth="1"/>
    <col min="8" max="8" width="11.7109375" style="470" bestFit="1" customWidth="1"/>
    <col min="9" max="9" width="11.28515625" style="2" bestFit="1" customWidth="1"/>
    <col min="10" max="10" width="6.7109375" style="421" bestFit="1" customWidth="1"/>
    <col min="11" max="11" width="11.28515625" style="2" bestFit="1" customWidth="1"/>
    <col min="12" max="12" width="6.7109375" style="421" bestFit="1" customWidth="1"/>
    <col min="13" max="13" width="9" style="421" bestFit="1" customWidth="1"/>
    <col min="14" max="14" width="7.85546875" bestFit="1" customWidth="1"/>
    <col min="15" max="15" width="8.85546875" bestFit="1" customWidth="1"/>
    <col min="16" max="16" width="11.28515625" bestFit="1" customWidth="1"/>
    <col min="17" max="17" width="6.7109375" bestFit="1" customWidth="1"/>
    <col min="18" max="18" width="5.7109375" bestFit="1" customWidth="1"/>
    <col min="19" max="19" width="6.28515625" bestFit="1" customWidth="1"/>
  </cols>
  <sheetData>
    <row r="1" spans="1:28" ht="67.5" customHeight="1" thickBot="1">
      <c r="A1" s="944" t="str">
        <f>CONCATENATE("Periodisering av Omsetning Svinn og Lønn 2016   Avd ",sysX!A2)</f>
        <v>Periodisering av Omsetning Svinn og Lønn 2016   Avd 4301</v>
      </c>
      <c r="B1" s="944"/>
      <c r="C1" s="944"/>
      <c r="D1" s="944"/>
      <c r="E1" s="944"/>
      <c r="F1" s="944"/>
      <c r="G1" s="944"/>
      <c r="H1" s="944"/>
      <c r="I1" s="944"/>
      <c r="J1" s="944"/>
      <c r="K1" s="944"/>
      <c r="L1" s="944"/>
      <c r="M1" s="944"/>
      <c r="N1" s="944"/>
      <c r="O1" s="944"/>
      <c r="P1" s="944"/>
      <c r="Q1" s="944"/>
      <c r="R1" s="944"/>
      <c r="S1" s="944"/>
      <c r="T1" s="410"/>
      <c r="U1" s="410"/>
      <c r="V1" s="410"/>
      <c r="W1" s="410"/>
      <c r="X1" s="410"/>
      <c r="Y1" s="410"/>
      <c r="Z1" s="410"/>
      <c r="AA1" s="410"/>
      <c r="AB1" s="410"/>
    </row>
    <row r="2" spans="1:28" s="448" customFormat="1" ht="48" customHeight="1" thickBot="1">
      <c r="A2" s="444"/>
      <c r="B2" s="445" t="s">
        <v>402</v>
      </c>
      <c r="C2" s="445" t="s">
        <v>403</v>
      </c>
      <c r="D2" s="445" t="s">
        <v>404</v>
      </c>
      <c r="E2" s="709"/>
      <c r="F2" s="445" t="s">
        <v>405</v>
      </c>
      <c r="G2" s="450" t="s">
        <v>294</v>
      </c>
      <c r="H2" s="467" t="s">
        <v>410</v>
      </c>
      <c r="I2" s="939" t="s">
        <v>407</v>
      </c>
      <c r="J2" s="941"/>
      <c r="K2" s="939" t="s">
        <v>408</v>
      </c>
      <c r="L2" s="940"/>
      <c r="M2" s="446" t="s">
        <v>298</v>
      </c>
      <c r="N2" s="449" t="s">
        <v>296</v>
      </c>
      <c r="O2" s="451" t="s">
        <v>297</v>
      </c>
      <c r="P2" s="942" t="s">
        <v>409</v>
      </c>
      <c r="Q2" s="942"/>
      <c r="R2" s="942"/>
      <c r="S2" s="943"/>
      <c r="T2" s="447"/>
      <c r="U2" s="447"/>
      <c r="V2" s="447"/>
      <c r="W2" s="447"/>
      <c r="X2" s="447"/>
      <c r="Y2" s="447"/>
      <c r="Z2" s="447"/>
      <c r="AA2" s="447"/>
      <c r="AB2" s="447"/>
    </row>
    <row r="3" spans="1:28" ht="15.75" thickBot="1">
      <c r="A3" s="411">
        <v>0</v>
      </c>
      <c r="B3" s="705">
        <v>0</v>
      </c>
      <c r="C3" s="412">
        <v>359922</v>
      </c>
      <c r="D3" s="706">
        <v>0</v>
      </c>
      <c r="E3" s="413">
        <f>(B4/2.5)/SUM(B$3:B$56)</f>
        <v>3.9552266655607897E-3</v>
      </c>
      <c r="F3" s="412">
        <f>CEILING(E3*SUM(C$3:C$55)*0.75,1000)</f>
        <v>250000</v>
      </c>
      <c r="G3" s="452">
        <v>150000</v>
      </c>
      <c r="H3" s="468">
        <f>F3+G3</f>
        <v>400000</v>
      </c>
      <c r="I3" s="706"/>
      <c r="J3" s="419">
        <f>IFERROR(I3/D3,0)</f>
        <v>0</v>
      </c>
      <c r="K3" s="412">
        <v>-116068</v>
      </c>
      <c r="L3" s="434">
        <f>IFERROR(K3/H3,0)</f>
        <v>-0.29016999999999998</v>
      </c>
      <c r="M3" s="460">
        <f>((K57/AVERAGE(N3:N55))-O57)/53</f>
        <v>657.4468871324334</v>
      </c>
      <c r="N3" s="459">
        <v>-252</v>
      </c>
      <c r="O3" s="453">
        <v>-450</v>
      </c>
      <c r="P3" s="412">
        <f>((M3+O3)*N3)</f>
        <v>-52276.615557373218</v>
      </c>
      <c r="Q3" s="419">
        <f>P3/H3</f>
        <v>-0.13069153889343305</v>
      </c>
      <c r="R3" s="433">
        <f>M3+O3</f>
        <v>207.4468871324334</v>
      </c>
      <c r="S3" s="435">
        <f>H3/R3</f>
        <v>1928.2043974207304</v>
      </c>
      <c r="T3" s="25"/>
      <c r="U3" s="179"/>
      <c r="V3" s="25"/>
      <c r="W3" s="716"/>
    </row>
    <row r="4" spans="1:28">
      <c r="A4" s="411">
        <v>1</v>
      </c>
      <c r="B4" s="695">
        <v>819269</v>
      </c>
      <c r="C4" s="412">
        <v>1739782</v>
      </c>
      <c r="D4" s="698">
        <v>512403</v>
      </c>
      <c r="E4" s="413">
        <f>B5/SUM(B$3:B$56)</f>
        <v>2.0719186191821316E-2</v>
      </c>
      <c r="F4" s="412">
        <f t="shared" ref="F4:F25" si="0">CEILING(E4*SUM(C$3:C$55),1000)</f>
        <v>1744000</v>
      </c>
      <c r="G4" s="452">
        <v>150000</v>
      </c>
      <c r="H4" s="468">
        <f t="shared" ref="H4:H55" si="1">F4+G4</f>
        <v>1894000</v>
      </c>
      <c r="I4" s="698">
        <v>-87944</v>
      </c>
      <c r="J4" s="419">
        <f t="shared" ref="J4:J56" si="2">IFERROR(I4/D4,0)</f>
        <v>-0.17163053299844069</v>
      </c>
      <c r="K4" s="412">
        <v>-172137</v>
      </c>
      <c r="L4" s="434">
        <f t="shared" ref="L4:L56" si="3">IFERROR(K4/H4,0)</f>
        <v>-9.0885427666314675E-2</v>
      </c>
      <c r="M4" s="422">
        <f>M$3</f>
        <v>657.4468871324334</v>
      </c>
      <c r="N4" s="412">
        <f>N$3</f>
        <v>-252</v>
      </c>
      <c r="O4" s="452">
        <v>200</v>
      </c>
      <c r="P4" s="412">
        <f>(M4+O4)*N4</f>
        <v>-216076.61555737321</v>
      </c>
      <c r="Q4" s="419">
        <f t="shared" ref="Q4:Q34" si="4">P4/H4</f>
        <v>-0.11408480230061943</v>
      </c>
      <c r="R4" s="433">
        <f t="shared" ref="R4:R55" si="5">M4+O4</f>
        <v>857.4468871324334</v>
      </c>
      <c r="S4" s="435">
        <f t="shared" ref="S4:S55" si="6">H4/R4</f>
        <v>2208.883172150895</v>
      </c>
      <c r="T4" s="25"/>
      <c r="U4" s="179"/>
      <c r="V4" s="25"/>
      <c r="W4" s="716"/>
    </row>
    <row r="5" spans="1:28">
      <c r="A5" s="411">
        <v>2</v>
      </c>
      <c r="B5" s="693">
        <v>1716674</v>
      </c>
      <c r="C5" s="412">
        <v>1751411</v>
      </c>
      <c r="D5" s="693">
        <v>1719978</v>
      </c>
      <c r="E5" s="413">
        <f>B6/SUM(B$3:B$56)</f>
        <v>2.0658573779065412E-2</v>
      </c>
      <c r="F5" s="412">
        <f t="shared" si="0"/>
        <v>1739000</v>
      </c>
      <c r="G5" s="452">
        <v>70000</v>
      </c>
      <c r="H5" s="468">
        <f t="shared" si="1"/>
        <v>1809000</v>
      </c>
      <c r="I5" s="693">
        <v>-177811</v>
      </c>
      <c r="J5" s="419">
        <f t="shared" si="2"/>
        <v>-0.10337981067199696</v>
      </c>
      <c r="K5" s="412">
        <v>-172137</v>
      </c>
      <c r="L5" s="434">
        <f>IFERROR(K5/H5,0)</f>
        <v>-9.5155887230514102E-2</v>
      </c>
      <c r="M5" s="422">
        <f t="shared" ref="M5:M55" si="7">M$3</f>
        <v>657.4468871324334</v>
      </c>
      <c r="N5" s="412">
        <f t="shared" ref="N5:N19" si="8">N$3</f>
        <v>-252</v>
      </c>
      <c r="O5" s="452">
        <v>125</v>
      </c>
      <c r="P5" s="412">
        <f t="shared" ref="P5:P34" si="9">(M5+O5)*N5</f>
        <v>-197176.61555737321</v>
      </c>
      <c r="Q5" s="419">
        <f t="shared" si="4"/>
        <v>-0.10899757631695589</v>
      </c>
      <c r="R5" s="433">
        <f t="shared" si="5"/>
        <v>782.4468871324334</v>
      </c>
      <c r="S5" s="435">
        <f t="shared" si="6"/>
        <v>2311.978013778994</v>
      </c>
      <c r="T5" s="25"/>
      <c r="U5" s="179"/>
      <c r="V5" s="25"/>
      <c r="W5" s="716"/>
    </row>
    <row r="6" spans="1:28">
      <c r="A6" s="411">
        <v>3</v>
      </c>
      <c r="B6" s="693">
        <v>1711652</v>
      </c>
      <c r="C6" s="412">
        <v>1763602</v>
      </c>
      <c r="D6" s="693">
        <v>1721569</v>
      </c>
      <c r="E6" s="413">
        <f>B7/SUM(B$3:B$56)</f>
        <v>2.0453225393834644E-2</v>
      </c>
      <c r="F6" s="412">
        <f t="shared" si="0"/>
        <v>1721000</v>
      </c>
      <c r="G6" s="452">
        <v>30000</v>
      </c>
      <c r="H6" s="468">
        <f t="shared" si="1"/>
        <v>1751000</v>
      </c>
      <c r="I6" s="693">
        <v>-189545</v>
      </c>
      <c r="J6" s="419">
        <f t="shared" si="2"/>
        <v>-0.11010014701705247</v>
      </c>
      <c r="K6" s="412">
        <v>-172137</v>
      </c>
      <c r="L6" s="434">
        <f t="shared" si="3"/>
        <v>-9.8307824100513988E-2</v>
      </c>
      <c r="M6" s="422">
        <f t="shared" si="7"/>
        <v>657.4468871324334</v>
      </c>
      <c r="N6" s="412">
        <f t="shared" si="8"/>
        <v>-252</v>
      </c>
      <c r="O6" s="452">
        <v>75</v>
      </c>
      <c r="P6" s="412">
        <f t="shared" si="9"/>
        <v>-184576.61555737321</v>
      </c>
      <c r="Q6" s="419">
        <f t="shared" si="4"/>
        <v>-0.10541211625206923</v>
      </c>
      <c r="R6" s="433">
        <f t="shared" si="5"/>
        <v>732.4468871324334</v>
      </c>
      <c r="S6" s="435">
        <f t="shared" si="6"/>
        <v>2390.6170273386697</v>
      </c>
      <c r="T6" s="25"/>
      <c r="U6" s="179"/>
      <c r="V6" s="25"/>
      <c r="W6" s="716"/>
    </row>
    <row r="7" spans="1:28">
      <c r="A7" s="411">
        <v>4</v>
      </c>
      <c r="B7" s="695">
        <v>1694638</v>
      </c>
      <c r="C7" s="412">
        <v>1756144</v>
      </c>
      <c r="D7" s="698">
        <v>1782354</v>
      </c>
      <c r="E7" s="413">
        <f t="shared" ref="E7:E12" si="10">B7/SUM(B$3:B$56)</f>
        <v>2.0453225393834644E-2</v>
      </c>
      <c r="F7" s="412">
        <f t="shared" si="0"/>
        <v>1721000</v>
      </c>
      <c r="G7" s="452">
        <v>100000</v>
      </c>
      <c r="H7" s="468">
        <f t="shared" si="1"/>
        <v>1821000</v>
      </c>
      <c r="I7" s="698">
        <v>-170106</v>
      </c>
      <c r="J7" s="419">
        <f t="shared" si="2"/>
        <v>-9.5438953204582261E-2</v>
      </c>
      <c r="K7" s="412">
        <v>-172137</v>
      </c>
      <c r="L7" s="434">
        <f t="shared" si="3"/>
        <v>-9.4528830313014831E-2</v>
      </c>
      <c r="M7" s="422">
        <f t="shared" si="7"/>
        <v>657.4468871324334</v>
      </c>
      <c r="N7" s="412">
        <f t="shared" si="8"/>
        <v>-252</v>
      </c>
      <c r="O7" s="452"/>
      <c r="P7" s="412">
        <f t="shared" si="9"/>
        <v>-165676.61555737321</v>
      </c>
      <c r="Q7" s="419">
        <f t="shared" si="4"/>
        <v>-9.0981117823928176E-2</v>
      </c>
      <c r="R7" s="433">
        <f t="shared" si="5"/>
        <v>657.4468871324334</v>
      </c>
      <c r="S7" s="435">
        <f t="shared" si="6"/>
        <v>2769.8054940112374</v>
      </c>
      <c r="T7" s="25"/>
      <c r="U7" s="179"/>
      <c r="V7" s="25"/>
      <c r="W7" s="716"/>
    </row>
    <row r="8" spans="1:28">
      <c r="A8" s="411">
        <v>5</v>
      </c>
      <c r="B8" s="695">
        <v>1724348</v>
      </c>
      <c r="C8" s="412">
        <v>1735663</v>
      </c>
      <c r="D8" s="698">
        <v>1716422</v>
      </c>
      <c r="E8" s="413">
        <f t="shared" si="10"/>
        <v>2.0811806593153216E-2</v>
      </c>
      <c r="F8" s="412">
        <f t="shared" si="0"/>
        <v>1752000</v>
      </c>
      <c r="G8" s="452">
        <v>70000</v>
      </c>
      <c r="H8" s="468">
        <f t="shared" si="1"/>
        <v>1822000</v>
      </c>
      <c r="I8" s="698">
        <v>-185211</v>
      </c>
      <c r="J8" s="419">
        <f t="shared" si="2"/>
        <v>-0.1079052820343715</v>
      </c>
      <c r="K8" s="412">
        <v>-172137</v>
      </c>
      <c r="L8" s="434">
        <f t="shared" si="3"/>
        <v>-9.4476948408342476E-2</v>
      </c>
      <c r="M8" s="422">
        <f t="shared" si="7"/>
        <v>657.4468871324334</v>
      </c>
      <c r="N8" s="412">
        <f t="shared" si="8"/>
        <v>-252</v>
      </c>
      <c r="O8" s="452">
        <v>30</v>
      </c>
      <c r="P8" s="412">
        <f t="shared" si="9"/>
        <v>-173236.61555737321</v>
      </c>
      <c r="Q8" s="419">
        <f t="shared" si="4"/>
        <v>-9.5080469570457307E-2</v>
      </c>
      <c r="R8" s="433">
        <f t="shared" si="5"/>
        <v>687.4468871324334</v>
      </c>
      <c r="S8" s="435">
        <f t="shared" si="6"/>
        <v>2650.3865740088809</v>
      </c>
      <c r="T8" s="25"/>
      <c r="U8" s="179"/>
      <c r="V8" s="25"/>
      <c r="W8" s="716"/>
    </row>
    <row r="9" spans="1:28">
      <c r="A9" s="411">
        <v>6</v>
      </c>
      <c r="B9" s="695">
        <v>1678960</v>
      </c>
      <c r="C9" s="412">
        <v>1703240</v>
      </c>
      <c r="D9" s="698">
        <v>1696404</v>
      </c>
      <c r="E9" s="413">
        <f t="shared" si="10"/>
        <v>2.0264001696664782E-2</v>
      </c>
      <c r="F9" s="412">
        <f t="shared" si="0"/>
        <v>1705000</v>
      </c>
      <c r="G9" s="452">
        <v>200000</v>
      </c>
      <c r="H9" s="468">
        <f t="shared" si="1"/>
        <v>1905000</v>
      </c>
      <c r="I9" s="698">
        <v>-181728</v>
      </c>
      <c r="J9" s="419">
        <f t="shared" si="2"/>
        <v>-0.10712542531142345</v>
      </c>
      <c r="K9" s="412">
        <v>-172137</v>
      </c>
      <c r="L9" s="434">
        <f t="shared" si="3"/>
        <v>-9.0360629921259844E-2</v>
      </c>
      <c r="M9" s="422">
        <f t="shared" si="7"/>
        <v>657.4468871324334</v>
      </c>
      <c r="N9" s="412">
        <f t="shared" si="8"/>
        <v>-252</v>
      </c>
      <c r="O9" s="452">
        <v>75</v>
      </c>
      <c r="P9" s="412">
        <f t="shared" si="9"/>
        <v>-184576.61555737321</v>
      </c>
      <c r="Q9" s="419">
        <f t="shared" si="4"/>
        <v>-9.6890611841140797E-2</v>
      </c>
      <c r="R9" s="433">
        <f t="shared" si="5"/>
        <v>732.4468871324334</v>
      </c>
      <c r="S9" s="435">
        <f t="shared" si="6"/>
        <v>2600.8711805140865</v>
      </c>
      <c r="T9" s="25"/>
      <c r="U9" s="179"/>
      <c r="V9" s="25"/>
      <c r="W9" s="716"/>
    </row>
    <row r="10" spans="1:28">
      <c r="A10" s="411">
        <v>7</v>
      </c>
      <c r="B10" s="695">
        <v>1658897</v>
      </c>
      <c r="C10" s="412">
        <v>1690263</v>
      </c>
      <c r="D10" s="698">
        <v>1664714</v>
      </c>
      <c r="E10" s="413">
        <f t="shared" si="10"/>
        <v>2.0021853780073449E-2</v>
      </c>
      <c r="F10" s="412">
        <f t="shared" si="0"/>
        <v>1685000</v>
      </c>
      <c r="G10" s="452"/>
      <c r="H10" s="468">
        <f t="shared" si="1"/>
        <v>1685000</v>
      </c>
      <c r="I10" s="698">
        <v>-182854</v>
      </c>
      <c r="J10" s="419">
        <f t="shared" si="2"/>
        <v>-0.10984108982083408</v>
      </c>
      <c r="K10" s="412">
        <v>-172137</v>
      </c>
      <c r="L10" s="434">
        <f t="shared" si="3"/>
        <v>-0.10215845697329377</v>
      </c>
      <c r="M10" s="422">
        <f t="shared" si="7"/>
        <v>657.4468871324334</v>
      </c>
      <c r="N10" s="412">
        <f t="shared" si="8"/>
        <v>-252</v>
      </c>
      <c r="O10" s="452">
        <v>150</v>
      </c>
      <c r="P10" s="412">
        <f t="shared" si="9"/>
        <v>-203476.61555737321</v>
      </c>
      <c r="Q10" s="419">
        <f t="shared" si="4"/>
        <v>-0.12075763534562209</v>
      </c>
      <c r="R10" s="433">
        <f t="shared" si="5"/>
        <v>807.4468871324334</v>
      </c>
      <c r="S10" s="435">
        <f t="shared" si="6"/>
        <v>2086.8245662375498</v>
      </c>
      <c r="T10" s="25"/>
      <c r="U10" s="179"/>
      <c r="V10" s="25"/>
      <c r="W10" s="716"/>
    </row>
    <row r="11" spans="1:28">
      <c r="A11" s="411">
        <v>8</v>
      </c>
      <c r="B11" s="696">
        <v>1637594</v>
      </c>
      <c r="C11" s="412">
        <v>1704788</v>
      </c>
      <c r="D11" s="703">
        <v>1603161</v>
      </c>
      <c r="E11" s="413">
        <f t="shared" si="10"/>
        <v>1.976473983564115E-2</v>
      </c>
      <c r="F11" s="704">
        <f t="shared" si="0"/>
        <v>1663000</v>
      </c>
      <c r="G11" s="452"/>
      <c r="H11" s="468">
        <f t="shared" si="1"/>
        <v>1663000</v>
      </c>
      <c r="I11" s="703">
        <v>-187505</v>
      </c>
      <c r="J11" s="419">
        <f t="shared" si="2"/>
        <v>-0.11695955677564511</v>
      </c>
      <c r="K11" s="704">
        <v>-172137</v>
      </c>
      <c r="L11" s="434">
        <f t="shared" si="3"/>
        <v>-0.10350992182802164</v>
      </c>
      <c r="M11" s="422">
        <f t="shared" si="7"/>
        <v>657.4468871324334</v>
      </c>
      <c r="N11" s="412">
        <f t="shared" si="8"/>
        <v>-252</v>
      </c>
      <c r="O11" s="452">
        <v>80</v>
      </c>
      <c r="P11" s="412">
        <f t="shared" si="9"/>
        <v>-185836.61555737321</v>
      </c>
      <c r="Q11" s="419">
        <f t="shared" si="4"/>
        <v>-0.11174781452638197</v>
      </c>
      <c r="R11" s="433">
        <f t="shared" si="5"/>
        <v>737.4468871324334</v>
      </c>
      <c r="S11" s="435">
        <f t="shared" si="6"/>
        <v>2255.0776591743243</v>
      </c>
      <c r="T11" s="716"/>
      <c r="U11" s="179"/>
      <c r="V11" s="25"/>
      <c r="W11" s="716"/>
    </row>
    <row r="12" spans="1:28">
      <c r="A12" s="411">
        <v>9</v>
      </c>
      <c r="B12" s="695">
        <v>1668715</v>
      </c>
      <c r="C12" s="412">
        <v>1753887</v>
      </c>
      <c r="D12" s="698">
        <v>1754192</v>
      </c>
      <c r="E12" s="413">
        <f t="shared" si="10"/>
        <v>2.0140350926317465E-2</v>
      </c>
      <c r="F12" s="412">
        <f t="shared" si="0"/>
        <v>1695000</v>
      </c>
      <c r="G12" s="452">
        <v>50000</v>
      </c>
      <c r="H12" s="468">
        <f t="shared" si="1"/>
        <v>1745000</v>
      </c>
      <c r="I12" s="698">
        <v>-184496</v>
      </c>
      <c r="J12" s="419">
        <f t="shared" si="2"/>
        <v>-0.10517434807592327</v>
      </c>
      <c r="K12" s="412">
        <v>-172137</v>
      </c>
      <c r="L12" s="434">
        <f t="shared" si="3"/>
        <v>-9.8645845272206309E-2</v>
      </c>
      <c r="M12" s="422">
        <f t="shared" si="7"/>
        <v>657.4468871324334</v>
      </c>
      <c r="N12" s="412">
        <f t="shared" si="8"/>
        <v>-252</v>
      </c>
      <c r="O12" s="452">
        <v>80</v>
      </c>
      <c r="P12" s="412">
        <f t="shared" si="9"/>
        <v>-185836.61555737321</v>
      </c>
      <c r="Q12" s="419">
        <f t="shared" si="4"/>
        <v>-0.1064966278265749</v>
      </c>
      <c r="R12" s="433">
        <f t="shared" si="5"/>
        <v>737.4468871324334</v>
      </c>
      <c r="S12" s="435">
        <f t="shared" si="6"/>
        <v>2366.2721077926612</v>
      </c>
      <c r="T12" s="716"/>
      <c r="U12" s="179"/>
      <c r="V12" s="179"/>
      <c r="W12" s="179"/>
    </row>
    <row r="13" spans="1:28">
      <c r="A13" s="411">
        <v>10</v>
      </c>
      <c r="B13" s="695">
        <v>1799094</v>
      </c>
      <c r="C13" s="412">
        <v>1729192</v>
      </c>
      <c r="D13" s="698">
        <v>1811954</v>
      </c>
      <c r="E13" s="413">
        <f>B17/SUM(B$3:B$56)</f>
        <v>1.8878521669287572E-2</v>
      </c>
      <c r="F13" s="412">
        <f t="shared" si="0"/>
        <v>1589000</v>
      </c>
      <c r="G13" s="452">
        <v>200000</v>
      </c>
      <c r="H13" s="468">
        <f t="shared" si="1"/>
        <v>1789000</v>
      </c>
      <c r="I13" s="698">
        <v>-195867</v>
      </c>
      <c r="J13" s="419">
        <f t="shared" si="2"/>
        <v>-0.10809711504817451</v>
      </c>
      <c r="K13" s="412">
        <v>-172137</v>
      </c>
      <c r="L13" s="434">
        <f t="shared" si="3"/>
        <v>-9.6219675796534371E-2</v>
      </c>
      <c r="M13" s="422">
        <f t="shared" si="7"/>
        <v>657.4468871324334</v>
      </c>
      <c r="N13" s="412">
        <f t="shared" si="8"/>
        <v>-252</v>
      </c>
      <c r="O13" s="452">
        <v>80</v>
      </c>
      <c r="P13" s="412">
        <f t="shared" si="9"/>
        <v>-185836.61555737321</v>
      </c>
      <c r="Q13" s="419">
        <f t="shared" si="4"/>
        <v>-0.10387737035068374</v>
      </c>
      <c r="R13" s="433">
        <f t="shared" si="5"/>
        <v>737.4468871324334</v>
      </c>
      <c r="S13" s="435">
        <f t="shared" si="6"/>
        <v>2425.9374216854276</v>
      </c>
      <c r="T13" s="716"/>
      <c r="U13" s="179"/>
      <c r="V13" s="179"/>
      <c r="W13" s="179"/>
    </row>
    <row r="14" spans="1:28">
      <c r="A14" s="411">
        <v>11</v>
      </c>
      <c r="B14" s="695">
        <v>1690627</v>
      </c>
      <c r="C14" s="412">
        <v>1551905</v>
      </c>
      <c r="D14" s="698">
        <v>1787817</v>
      </c>
      <c r="E14" s="413">
        <f>B18/SUM(B$3:B$56)</f>
        <v>2.0312882674693736E-2</v>
      </c>
      <c r="F14" s="414">
        <f t="shared" si="0"/>
        <v>1710000</v>
      </c>
      <c r="G14" s="452"/>
      <c r="H14" s="468">
        <f t="shared" si="1"/>
        <v>1710000</v>
      </c>
      <c r="I14" s="698">
        <v>-180374</v>
      </c>
      <c r="J14" s="419">
        <f t="shared" si="2"/>
        <v>-0.10089063925446508</v>
      </c>
      <c r="K14" s="414">
        <v>-172137</v>
      </c>
      <c r="L14" s="434">
        <f t="shared" si="3"/>
        <v>-0.10066491228070175</v>
      </c>
      <c r="M14" s="424">
        <f t="shared" si="7"/>
        <v>657.4468871324334</v>
      </c>
      <c r="N14" s="414">
        <f t="shared" si="8"/>
        <v>-252</v>
      </c>
      <c r="O14" s="454">
        <v>80</v>
      </c>
      <c r="P14" s="414">
        <f t="shared" si="9"/>
        <v>-185836.61555737321</v>
      </c>
      <c r="Q14" s="428">
        <f t="shared" si="4"/>
        <v>-0.10867638336688491</v>
      </c>
      <c r="R14" s="461">
        <f t="shared" si="5"/>
        <v>737.4468871324334</v>
      </c>
      <c r="S14" s="436">
        <f t="shared" si="6"/>
        <v>2318.8110626506882</v>
      </c>
      <c r="T14" s="716"/>
      <c r="U14" s="179"/>
      <c r="V14" s="179"/>
      <c r="W14" s="179"/>
    </row>
    <row r="15" spans="1:28">
      <c r="A15" s="411">
        <v>12</v>
      </c>
      <c r="B15" s="695">
        <v>1702039</v>
      </c>
      <c r="C15" s="412">
        <v>1209035</v>
      </c>
      <c r="D15" s="698">
        <v>1692693</v>
      </c>
      <c r="E15" s="413">
        <f>B19/SUM(B$3:B$56)</f>
        <v>1.4956517171658263E-2</v>
      </c>
      <c r="F15" s="414">
        <f t="shared" si="0"/>
        <v>1259000</v>
      </c>
      <c r="G15" s="452">
        <v>50000</v>
      </c>
      <c r="H15" s="468">
        <f t="shared" si="1"/>
        <v>1309000</v>
      </c>
      <c r="I15" s="698">
        <v>-181605</v>
      </c>
      <c r="J15" s="419">
        <f t="shared" si="2"/>
        <v>-0.1072876180146075</v>
      </c>
      <c r="K15" s="414">
        <v>-194367</v>
      </c>
      <c r="L15" s="434">
        <f t="shared" si="3"/>
        <v>-0.14848510313216196</v>
      </c>
      <c r="M15" s="424">
        <f t="shared" si="7"/>
        <v>657.4468871324334</v>
      </c>
      <c r="N15" s="414">
        <f t="shared" si="8"/>
        <v>-252</v>
      </c>
      <c r="O15" s="454">
        <v>150</v>
      </c>
      <c r="P15" s="414">
        <f t="shared" si="9"/>
        <v>-203476.61555737321</v>
      </c>
      <c r="Q15" s="428">
        <f t="shared" si="4"/>
        <v>-0.15544432051747381</v>
      </c>
      <c r="R15" s="461">
        <f t="shared" si="5"/>
        <v>807.4468871324334</v>
      </c>
      <c r="S15" s="436">
        <f t="shared" si="6"/>
        <v>1621.1592624361735</v>
      </c>
      <c r="T15" s="716"/>
      <c r="U15" s="179"/>
      <c r="V15" s="179"/>
      <c r="W15" s="179"/>
    </row>
    <row r="16" spans="1:28">
      <c r="A16" s="411">
        <v>13</v>
      </c>
      <c r="B16" s="695">
        <v>1620184</v>
      </c>
      <c r="C16" s="412">
        <v>1420000</v>
      </c>
      <c r="D16" s="697">
        <v>1610353</v>
      </c>
      <c r="E16" s="413">
        <f>B20/SUM(B$3:B$56)</f>
        <v>1.6272465516461446E-2</v>
      </c>
      <c r="F16" s="414">
        <f t="shared" si="0"/>
        <v>1370000</v>
      </c>
      <c r="G16" s="452">
        <v>200000</v>
      </c>
      <c r="H16" s="468">
        <f t="shared" si="1"/>
        <v>1570000</v>
      </c>
      <c r="I16" s="697">
        <v>-178658</v>
      </c>
      <c r="J16" s="419">
        <f t="shared" si="2"/>
        <v>-0.11094337701112737</v>
      </c>
      <c r="K16" s="414">
        <v>-182017</v>
      </c>
      <c r="L16" s="434">
        <f t="shared" si="3"/>
        <v>-0.1159343949044586</v>
      </c>
      <c r="M16" s="424">
        <f t="shared" si="7"/>
        <v>657.4468871324334</v>
      </c>
      <c r="N16" s="414">
        <f t="shared" si="8"/>
        <v>-252</v>
      </c>
      <c r="O16" s="454">
        <v>50</v>
      </c>
      <c r="P16" s="414">
        <f t="shared" si="9"/>
        <v>-178276.61555737321</v>
      </c>
      <c r="Q16" s="428">
        <f t="shared" si="4"/>
        <v>-0.1135519844314479</v>
      </c>
      <c r="R16" s="461">
        <f t="shared" si="5"/>
        <v>707.4468871324334</v>
      </c>
      <c r="S16" s="436">
        <f t="shared" si="6"/>
        <v>2219.2478736655994</v>
      </c>
      <c r="T16" s="716"/>
      <c r="U16" s="179"/>
      <c r="V16" s="179"/>
      <c r="W16" s="179"/>
    </row>
    <row r="17" spans="1:23">
      <c r="A17" s="411">
        <v>14</v>
      </c>
      <c r="B17" s="695">
        <v>1564167</v>
      </c>
      <c r="C17" s="412">
        <v>1749192</v>
      </c>
      <c r="D17" s="697">
        <v>1155171</v>
      </c>
      <c r="E17" s="413">
        <f>B17/SUM(B$3:B$56)</f>
        <v>1.8878521669287572E-2</v>
      </c>
      <c r="F17" s="412">
        <f t="shared" si="0"/>
        <v>1589000</v>
      </c>
      <c r="G17" s="452"/>
      <c r="H17" s="468">
        <f t="shared" si="1"/>
        <v>1589000</v>
      </c>
      <c r="I17" s="697">
        <v>-226201</v>
      </c>
      <c r="J17" s="419">
        <f t="shared" si="2"/>
        <v>-0.19581603070021666</v>
      </c>
      <c r="K17" s="412">
        <v>-169667</v>
      </c>
      <c r="L17" s="434">
        <f t="shared" si="3"/>
        <v>-0.10677595972309628</v>
      </c>
      <c r="M17" s="422">
        <f t="shared" si="7"/>
        <v>657.4468871324334</v>
      </c>
      <c r="N17" s="412">
        <f t="shared" si="8"/>
        <v>-252</v>
      </c>
      <c r="O17" s="452"/>
      <c r="P17" s="412">
        <f t="shared" si="9"/>
        <v>-165676.61555737321</v>
      </c>
      <c r="Q17" s="419">
        <f t="shared" si="4"/>
        <v>-0.10426470456725816</v>
      </c>
      <c r="R17" s="433">
        <f t="shared" si="5"/>
        <v>657.4468871324334</v>
      </c>
      <c r="S17" s="435">
        <f t="shared" si="6"/>
        <v>2416.9252773112885</v>
      </c>
      <c r="T17" s="716"/>
      <c r="U17" s="179"/>
      <c r="V17" s="179"/>
      <c r="W17" s="179"/>
    </row>
    <row r="18" spans="1:23">
      <c r="A18" s="411">
        <v>15</v>
      </c>
      <c r="B18" s="697">
        <v>1683010</v>
      </c>
      <c r="C18" s="412">
        <v>1731866</v>
      </c>
      <c r="D18" s="697">
        <v>1377164</v>
      </c>
      <c r="E18" s="413">
        <f>B22/SUM(B$3:B$56)</f>
        <v>1.9769253782748023E-2</v>
      </c>
      <c r="F18" s="412">
        <f t="shared" si="0"/>
        <v>1664000</v>
      </c>
      <c r="G18" s="452"/>
      <c r="H18" s="468">
        <f t="shared" si="1"/>
        <v>1664000</v>
      </c>
      <c r="I18" s="697">
        <v>-177847</v>
      </c>
      <c r="J18" s="419">
        <f t="shared" si="2"/>
        <v>-0.12914002980037237</v>
      </c>
      <c r="K18" s="412">
        <v>-169667</v>
      </c>
      <c r="L18" s="434">
        <f t="shared" si="3"/>
        <v>-0.10196334134615384</v>
      </c>
      <c r="M18" s="422">
        <f t="shared" si="7"/>
        <v>657.4468871324334</v>
      </c>
      <c r="N18" s="412">
        <f t="shared" si="8"/>
        <v>-252</v>
      </c>
      <c r="O18" s="452"/>
      <c r="P18" s="412">
        <f t="shared" si="9"/>
        <v>-165676.61555737321</v>
      </c>
      <c r="Q18" s="419">
        <f t="shared" si="4"/>
        <v>-9.9565273772459856E-2</v>
      </c>
      <c r="R18" s="433">
        <f t="shared" si="5"/>
        <v>657.4468871324334</v>
      </c>
      <c r="S18" s="435">
        <f t="shared" si="6"/>
        <v>2531.0029335720478</v>
      </c>
      <c r="T18" s="716"/>
      <c r="U18" s="179"/>
      <c r="V18" s="179"/>
      <c r="W18" s="179"/>
    </row>
    <row r="19" spans="1:23">
      <c r="A19" s="411">
        <v>16</v>
      </c>
      <c r="B19" s="697">
        <v>1239212</v>
      </c>
      <c r="C19" s="412">
        <v>1647621</v>
      </c>
      <c r="D19" s="698">
        <v>1508298</v>
      </c>
      <c r="E19" s="413">
        <f>B22/SUM(B$3:B$56)</f>
        <v>1.9769253782748023E-2</v>
      </c>
      <c r="F19" s="412">
        <f t="shared" si="0"/>
        <v>1664000</v>
      </c>
      <c r="G19" s="452"/>
      <c r="H19" s="468">
        <f t="shared" si="1"/>
        <v>1664000</v>
      </c>
      <c r="I19" s="698">
        <v>-191175</v>
      </c>
      <c r="J19" s="419">
        <f t="shared" si="2"/>
        <v>-0.12674882549734867</v>
      </c>
      <c r="K19" s="412">
        <v>-169667</v>
      </c>
      <c r="L19" s="434">
        <f t="shared" si="3"/>
        <v>-0.10196334134615384</v>
      </c>
      <c r="M19" s="422">
        <f t="shared" si="7"/>
        <v>657.4468871324334</v>
      </c>
      <c r="N19" s="412">
        <f t="shared" si="8"/>
        <v>-252</v>
      </c>
      <c r="O19" s="452"/>
      <c r="P19" s="412">
        <f t="shared" si="9"/>
        <v>-165676.61555737321</v>
      </c>
      <c r="Q19" s="419">
        <f t="shared" si="4"/>
        <v>-9.9565273772459856E-2</v>
      </c>
      <c r="R19" s="433">
        <f t="shared" si="5"/>
        <v>657.4468871324334</v>
      </c>
      <c r="S19" s="435">
        <f t="shared" si="6"/>
        <v>2531.0029335720478</v>
      </c>
      <c r="T19" s="716"/>
      <c r="U19" s="179"/>
      <c r="V19" s="179"/>
      <c r="W19" s="179"/>
    </row>
    <row r="20" spans="1:23">
      <c r="A20" s="411">
        <v>17</v>
      </c>
      <c r="B20" s="697">
        <v>1348244</v>
      </c>
      <c r="C20" s="412">
        <v>1630680</v>
      </c>
      <c r="D20" s="698">
        <v>1591943</v>
      </c>
      <c r="E20" s="413">
        <f>B22/SUM(B$3:B$56)</f>
        <v>1.9769253782748023E-2</v>
      </c>
      <c r="F20" s="412">
        <f t="shared" si="0"/>
        <v>1664000</v>
      </c>
      <c r="G20" s="452"/>
      <c r="H20" s="468">
        <f t="shared" si="1"/>
        <v>1664000</v>
      </c>
      <c r="I20" s="698">
        <v>-259025</v>
      </c>
      <c r="J20" s="419">
        <f t="shared" si="2"/>
        <v>-0.16270997139972976</v>
      </c>
      <c r="K20" s="412">
        <v>-176454</v>
      </c>
      <c r="L20" s="434">
        <f t="shared" si="3"/>
        <v>-0.10604206730769231</v>
      </c>
      <c r="M20" s="427">
        <f t="shared" si="7"/>
        <v>657.4468871324334</v>
      </c>
      <c r="N20" s="418">
        <f>N3*1.04</f>
        <v>-262.08</v>
      </c>
      <c r="O20" s="455"/>
      <c r="P20" s="418">
        <f t="shared" si="9"/>
        <v>-172303.68017966812</v>
      </c>
      <c r="Q20" s="420">
        <f t="shared" si="4"/>
        <v>-0.10354788472335824</v>
      </c>
      <c r="R20" s="462">
        <f t="shared" si="5"/>
        <v>657.4468871324334</v>
      </c>
      <c r="S20" s="437">
        <f t="shared" si="6"/>
        <v>2531.0029335720478</v>
      </c>
      <c r="T20" s="716"/>
      <c r="U20" s="179"/>
      <c r="V20" s="179"/>
      <c r="W20" s="179"/>
    </row>
    <row r="21" spans="1:23">
      <c r="A21" s="411">
        <v>18</v>
      </c>
      <c r="B21" s="694">
        <v>1480464</v>
      </c>
      <c r="C21" s="412">
        <v>1528783</v>
      </c>
      <c r="D21" s="694">
        <v>1375640</v>
      </c>
      <c r="E21" s="413">
        <f>B21/SUM(B$3:B$56)</f>
        <v>1.7868278581890652E-2</v>
      </c>
      <c r="F21" s="415">
        <f t="shared" si="0"/>
        <v>1504000</v>
      </c>
      <c r="G21" s="452"/>
      <c r="H21" s="468">
        <f t="shared" si="1"/>
        <v>1504000</v>
      </c>
      <c r="I21" s="694">
        <v>-193821</v>
      </c>
      <c r="J21" s="419">
        <f t="shared" si="2"/>
        <v>-0.14089514698613009</v>
      </c>
      <c r="K21" s="415">
        <v>-176454</v>
      </c>
      <c r="L21" s="434">
        <f t="shared" si="3"/>
        <v>-0.11732313829787235</v>
      </c>
      <c r="M21" s="425">
        <f t="shared" si="7"/>
        <v>657.4468871324334</v>
      </c>
      <c r="N21" s="423">
        <f>N$20</f>
        <v>-262.08</v>
      </c>
      <c r="O21" s="456"/>
      <c r="P21" s="423">
        <f t="shared" si="9"/>
        <v>-172303.68017966812</v>
      </c>
      <c r="Q21" s="429">
        <f t="shared" si="4"/>
        <v>-0.11456361714073679</v>
      </c>
      <c r="R21" s="463">
        <f t="shared" si="5"/>
        <v>657.4468871324334</v>
      </c>
      <c r="S21" s="438">
        <f t="shared" si="6"/>
        <v>2287.6372668824279</v>
      </c>
      <c r="T21" s="716"/>
      <c r="U21" s="179"/>
      <c r="V21" s="179"/>
      <c r="W21" s="179"/>
    </row>
    <row r="22" spans="1:23">
      <c r="A22" s="411">
        <v>19</v>
      </c>
      <c r="B22" s="695">
        <v>1637968</v>
      </c>
      <c r="C22" s="412">
        <v>2051519</v>
      </c>
      <c r="D22" s="698">
        <v>1562620</v>
      </c>
      <c r="E22" s="413">
        <f>B23/SUM(B$3:B$56)*(1+(1/15))</f>
        <v>2.4681483903224385E-2</v>
      </c>
      <c r="F22" s="699">
        <f t="shared" si="0"/>
        <v>2077000</v>
      </c>
      <c r="G22" s="452"/>
      <c r="H22" s="468">
        <f t="shared" si="1"/>
        <v>2077000</v>
      </c>
      <c r="I22" s="694">
        <v>-188562</v>
      </c>
      <c r="J22" s="419">
        <f t="shared" si="2"/>
        <v>-0.12067041251231905</v>
      </c>
      <c r="K22" s="699">
        <v>-207279</v>
      </c>
      <c r="L22" s="434">
        <f t="shared" si="3"/>
        <v>-9.9797303803562831E-2</v>
      </c>
      <c r="M22" s="439">
        <f t="shared" si="7"/>
        <v>657.4468871324334</v>
      </c>
      <c r="N22" s="416">
        <f t="shared" ref="N22:N55" si="11">N$20</f>
        <v>-262.08</v>
      </c>
      <c r="O22" s="457">
        <v>200</v>
      </c>
      <c r="P22" s="416">
        <f t="shared" si="9"/>
        <v>-224719.68017966812</v>
      </c>
      <c r="Q22" s="430">
        <f t="shared" si="4"/>
        <v>-0.10819435733253159</v>
      </c>
      <c r="R22" s="464">
        <f t="shared" si="5"/>
        <v>857.4468871324334</v>
      </c>
      <c r="S22" s="440">
        <f t="shared" si="6"/>
        <v>2422.3074701992655</v>
      </c>
      <c r="T22" s="716"/>
      <c r="U22" s="179"/>
      <c r="V22" s="179"/>
      <c r="W22" s="179"/>
    </row>
    <row r="23" spans="1:23">
      <c r="A23" s="411">
        <v>20</v>
      </c>
      <c r="B23" s="699">
        <v>1917157</v>
      </c>
      <c r="C23" s="412">
        <v>1233263</v>
      </c>
      <c r="D23" s="699">
        <v>2005116</v>
      </c>
      <c r="E23" s="413">
        <f>B24/SUM(B$3:B$56)*(1-(2/7))</f>
        <v>1.374527067485537E-2</v>
      </c>
      <c r="F23" s="415">
        <f t="shared" si="0"/>
        <v>1157000</v>
      </c>
      <c r="G23" s="452"/>
      <c r="H23" s="468">
        <f t="shared" si="1"/>
        <v>1157000</v>
      </c>
      <c r="I23" s="694">
        <v>-200841</v>
      </c>
      <c r="J23" s="419">
        <f t="shared" si="2"/>
        <v>-0.10016427977234235</v>
      </c>
      <c r="K23" s="415">
        <v>-184160</v>
      </c>
      <c r="L23" s="434">
        <f t="shared" si="3"/>
        <v>-0.15917026793431288</v>
      </c>
      <c r="M23" s="441">
        <f t="shared" si="7"/>
        <v>657.4468871324334</v>
      </c>
      <c r="N23" s="415">
        <f t="shared" si="11"/>
        <v>-262.08</v>
      </c>
      <c r="O23" s="456"/>
      <c r="P23" s="415">
        <f t="shared" si="9"/>
        <v>-172303.68017966812</v>
      </c>
      <c r="Q23" s="431">
        <f t="shared" si="4"/>
        <v>-0.14892280050100962</v>
      </c>
      <c r="R23" s="465">
        <f t="shared" si="5"/>
        <v>657.4468871324334</v>
      </c>
      <c r="S23" s="442">
        <f t="shared" si="6"/>
        <v>1759.8379772493145</v>
      </c>
      <c r="T23" s="716"/>
      <c r="U23" s="179"/>
      <c r="V23" s="179"/>
      <c r="W23" s="179"/>
    </row>
    <row r="24" spans="1:23">
      <c r="A24" s="411">
        <v>21</v>
      </c>
      <c r="B24" s="695">
        <v>1594397</v>
      </c>
      <c r="C24" s="412">
        <v>1670000</v>
      </c>
      <c r="D24" s="700">
        <v>1513124</v>
      </c>
      <c r="E24" s="413">
        <f>B24/SUM(B$3:B$56)</f>
        <v>1.9243378944797516E-2</v>
      </c>
      <c r="F24" s="412">
        <f t="shared" si="0"/>
        <v>1620000</v>
      </c>
      <c r="G24" s="452"/>
      <c r="H24" s="468">
        <f t="shared" si="1"/>
        <v>1620000</v>
      </c>
      <c r="I24" s="694">
        <v>-182289</v>
      </c>
      <c r="J24" s="419">
        <f t="shared" si="2"/>
        <v>-0.12047195074560975</v>
      </c>
      <c r="K24" s="412">
        <v>-245811</v>
      </c>
      <c r="L24" s="434">
        <f t="shared" si="3"/>
        <v>-0.1517351851851852</v>
      </c>
      <c r="M24" s="422">
        <f t="shared" si="7"/>
        <v>657.4468871324334</v>
      </c>
      <c r="N24" s="412">
        <f t="shared" si="11"/>
        <v>-262.08</v>
      </c>
      <c r="O24" s="452">
        <v>210</v>
      </c>
      <c r="P24" s="412">
        <f t="shared" si="9"/>
        <v>-227340.48017966814</v>
      </c>
      <c r="Q24" s="419">
        <f t="shared" si="4"/>
        <v>-0.1403336297405359</v>
      </c>
      <c r="R24" s="433">
        <f t="shared" si="5"/>
        <v>867.4468871324334</v>
      </c>
      <c r="S24" s="435">
        <f t="shared" si="6"/>
        <v>1867.5494996072009</v>
      </c>
      <c r="T24" s="716"/>
      <c r="U24" s="179"/>
      <c r="V24" s="179"/>
      <c r="W24" s="179"/>
    </row>
    <row r="25" spans="1:23">
      <c r="A25" s="411">
        <v>22</v>
      </c>
      <c r="B25" s="694">
        <v>1450362</v>
      </c>
      <c r="C25" s="412">
        <v>1700000</v>
      </c>
      <c r="D25" s="694">
        <v>1402074</v>
      </c>
      <c r="E25" s="413">
        <f>B24/SUM(B$3:B$56)</f>
        <v>1.9243378944797516E-2</v>
      </c>
      <c r="F25" s="412">
        <f t="shared" si="0"/>
        <v>1620000</v>
      </c>
      <c r="G25" s="452"/>
      <c r="H25" s="468">
        <f t="shared" si="1"/>
        <v>1620000</v>
      </c>
      <c r="I25" s="694">
        <v>-169222</v>
      </c>
      <c r="J25" s="419">
        <f t="shared" si="2"/>
        <v>-0.12069405751764885</v>
      </c>
      <c r="K25" s="412">
        <v>-176454</v>
      </c>
      <c r="L25" s="434">
        <f t="shared" si="3"/>
        <v>-0.10892222222222223</v>
      </c>
      <c r="M25" s="422">
        <f t="shared" si="7"/>
        <v>657.4468871324334</v>
      </c>
      <c r="N25" s="412">
        <f>N$20</f>
        <v>-262.08</v>
      </c>
      <c r="O25" s="452">
        <v>-40</v>
      </c>
      <c r="P25" s="412">
        <f t="shared" si="9"/>
        <v>-161820.48017966814</v>
      </c>
      <c r="Q25" s="419">
        <f t="shared" si="4"/>
        <v>-9.9889185296091448E-2</v>
      </c>
      <c r="R25" s="433">
        <f t="shared" si="5"/>
        <v>617.4468871324334</v>
      </c>
      <c r="S25" s="435">
        <f t="shared" si="6"/>
        <v>2623.7074536461846</v>
      </c>
      <c r="T25" s="716"/>
      <c r="U25" s="179"/>
      <c r="V25" s="179"/>
      <c r="W25" s="179"/>
    </row>
    <row r="26" spans="1:23">
      <c r="A26" s="411">
        <v>23</v>
      </c>
      <c r="B26" s="700">
        <v>1674809</v>
      </c>
      <c r="C26" s="412">
        <v>1573217</v>
      </c>
      <c r="D26" s="698">
        <v>1730551</v>
      </c>
      <c r="E26" s="413">
        <f>B24/SUM(B$3:B$56)</f>
        <v>1.9243378944797516E-2</v>
      </c>
      <c r="F26" s="412">
        <f t="shared" ref="F26:F38" si="12">CEILING(E26*SUM(C$3:C$55),1000)</f>
        <v>1620000</v>
      </c>
      <c r="G26" s="452"/>
      <c r="H26" s="468">
        <f t="shared" si="1"/>
        <v>1620000</v>
      </c>
      <c r="I26" s="694">
        <v>-185107</v>
      </c>
      <c r="J26" s="419">
        <f t="shared" si="2"/>
        <v>-0.10696419810800144</v>
      </c>
      <c r="K26" s="412">
        <v>-176454</v>
      </c>
      <c r="L26" s="434">
        <f t="shared" si="3"/>
        <v>-0.10892222222222223</v>
      </c>
      <c r="M26" s="422">
        <f t="shared" si="7"/>
        <v>657.4468871324334</v>
      </c>
      <c r="N26" s="412">
        <f t="shared" si="11"/>
        <v>-262.08</v>
      </c>
      <c r="O26" s="452">
        <v>-40</v>
      </c>
      <c r="P26" s="412">
        <f t="shared" si="9"/>
        <v>-161820.48017966814</v>
      </c>
      <c r="Q26" s="419">
        <f t="shared" si="4"/>
        <v>-9.9889185296091448E-2</v>
      </c>
      <c r="R26" s="433">
        <f t="shared" si="5"/>
        <v>617.4468871324334</v>
      </c>
      <c r="S26" s="435">
        <f t="shared" si="6"/>
        <v>2623.7074536461846</v>
      </c>
      <c r="T26" s="716"/>
      <c r="U26" s="179"/>
      <c r="V26" s="179"/>
      <c r="W26" s="179"/>
    </row>
    <row r="27" spans="1:23">
      <c r="A27" s="411">
        <v>24</v>
      </c>
      <c r="B27" s="694">
        <v>1434754</v>
      </c>
      <c r="C27" s="412">
        <v>1533603</v>
      </c>
      <c r="D27" s="698">
        <v>1537632</v>
      </c>
      <c r="E27" s="413">
        <f>B24/SUM(B$3:B$56)</f>
        <v>1.9243378944797516E-2</v>
      </c>
      <c r="F27" s="412">
        <f t="shared" si="12"/>
        <v>1620000</v>
      </c>
      <c r="G27" s="452"/>
      <c r="H27" s="468">
        <f t="shared" si="1"/>
        <v>1620000</v>
      </c>
      <c r="I27" s="694">
        <v>-175949</v>
      </c>
      <c r="J27" s="419">
        <f t="shared" si="2"/>
        <v>-0.11442854987409211</v>
      </c>
      <c r="K27" s="412">
        <v>-161041</v>
      </c>
      <c r="L27" s="434">
        <f t="shared" si="3"/>
        <v>-9.9408024691358024E-2</v>
      </c>
      <c r="M27" s="422">
        <f t="shared" si="7"/>
        <v>657.4468871324334</v>
      </c>
      <c r="N27" s="412">
        <f t="shared" si="11"/>
        <v>-262.08</v>
      </c>
      <c r="O27" s="452">
        <v>-40</v>
      </c>
      <c r="P27" s="412">
        <f t="shared" si="9"/>
        <v>-161820.48017966814</v>
      </c>
      <c r="Q27" s="419">
        <f t="shared" si="4"/>
        <v>-9.9889185296091448E-2</v>
      </c>
      <c r="R27" s="433">
        <f t="shared" si="5"/>
        <v>617.4468871324334</v>
      </c>
      <c r="S27" s="435">
        <f t="shared" si="6"/>
        <v>2623.7074536461846</v>
      </c>
      <c r="T27" s="716"/>
      <c r="U27" s="179"/>
      <c r="V27" s="179"/>
      <c r="W27" s="179"/>
    </row>
    <row r="28" spans="1:23">
      <c r="A28" s="411">
        <v>25</v>
      </c>
      <c r="B28" s="695">
        <v>1558295</v>
      </c>
      <c r="C28" s="412">
        <v>1386333</v>
      </c>
      <c r="D28" s="698">
        <v>1498915</v>
      </c>
      <c r="E28" s="413">
        <f>B28/SUM(B$3:B$56)</f>
        <v>1.8807650285834233E-2</v>
      </c>
      <c r="F28" s="412">
        <f t="shared" si="12"/>
        <v>1583000</v>
      </c>
      <c r="G28" s="452"/>
      <c r="H28" s="468">
        <f t="shared" si="1"/>
        <v>1583000</v>
      </c>
      <c r="I28" s="694">
        <v>-162455</v>
      </c>
      <c r="J28" s="419">
        <f t="shared" si="2"/>
        <v>-0.10838172945096954</v>
      </c>
      <c r="K28" s="412">
        <v>-150766</v>
      </c>
      <c r="L28" s="434">
        <f t="shared" si="3"/>
        <v>-9.5240682248894509E-2</v>
      </c>
      <c r="M28" s="422">
        <f t="shared" si="7"/>
        <v>657.4468871324334</v>
      </c>
      <c r="N28" s="412">
        <f t="shared" si="11"/>
        <v>-262.08</v>
      </c>
      <c r="O28" s="452">
        <v>-40</v>
      </c>
      <c r="P28" s="412">
        <f t="shared" si="9"/>
        <v>-161820.48017966814</v>
      </c>
      <c r="Q28" s="419">
        <f t="shared" si="4"/>
        <v>-0.10222392936176131</v>
      </c>
      <c r="R28" s="433">
        <f t="shared" si="5"/>
        <v>617.4468871324334</v>
      </c>
      <c r="S28" s="435">
        <f t="shared" si="6"/>
        <v>2563.7832710629077</v>
      </c>
      <c r="T28" s="716"/>
      <c r="U28" s="179"/>
      <c r="V28" s="179"/>
      <c r="W28" s="179"/>
    </row>
    <row r="29" spans="1:23">
      <c r="A29" s="411">
        <v>26</v>
      </c>
      <c r="B29" s="695">
        <v>1494633</v>
      </c>
      <c r="C29" s="412">
        <v>1273056</v>
      </c>
      <c r="D29" s="698">
        <v>1354976</v>
      </c>
      <c r="E29" s="413">
        <f t="shared" ref="E29:E48" si="13">B29/SUM(B$3:B$56)</f>
        <v>1.8039289588728243E-2</v>
      </c>
      <c r="F29" s="412">
        <f t="shared" si="12"/>
        <v>1518000</v>
      </c>
      <c r="G29" s="452"/>
      <c r="H29" s="468">
        <f t="shared" si="1"/>
        <v>1518000</v>
      </c>
      <c r="I29" s="694">
        <v>-147176</v>
      </c>
      <c r="J29" s="419">
        <f t="shared" si="2"/>
        <v>-0.10861889804690268</v>
      </c>
      <c r="K29" s="412">
        <v>-148197</v>
      </c>
      <c r="L29" s="434">
        <f t="shared" si="3"/>
        <v>-9.7626482213438739E-2</v>
      </c>
      <c r="M29" s="422">
        <f t="shared" si="7"/>
        <v>657.4468871324334</v>
      </c>
      <c r="N29" s="412">
        <f t="shared" si="11"/>
        <v>-262.08</v>
      </c>
      <c r="O29" s="452">
        <v>-50</v>
      </c>
      <c r="P29" s="412">
        <f t="shared" si="9"/>
        <v>-159199.68017966812</v>
      </c>
      <c r="Q29" s="419">
        <f t="shared" si="4"/>
        <v>-0.1048746246242873</v>
      </c>
      <c r="R29" s="433">
        <f t="shared" si="5"/>
        <v>607.4468871324334</v>
      </c>
      <c r="S29" s="435">
        <f t="shared" si="6"/>
        <v>2498.9839147353323</v>
      </c>
      <c r="T29" s="716"/>
      <c r="U29" s="179"/>
      <c r="V29" s="179"/>
      <c r="W29" s="179"/>
    </row>
    <row r="30" spans="1:23">
      <c r="A30" s="411">
        <v>27</v>
      </c>
      <c r="B30" s="695">
        <v>1281064</v>
      </c>
      <c r="C30" s="412">
        <v>1136922</v>
      </c>
      <c r="D30" s="698">
        <v>1244260</v>
      </c>
      <c r="E30" s="413">
        <f t="shared" si="13"/>
        <v>1.546164475004537E-2</v>
      </c>
      <c r="F30" s="412">
        <f t="shared" si="12"/>
        <v>1301000</v>
      </c>
      <c r="G30" s="452"/>
      <c r="H30" s="468">
        <f t="shared" si="1"/>
        <v>1301000</v>
      </c>
      <c r="I30" s="694">
        <v>-138509</v>
      </c>
      <c r="J30" s="419">
        <f t="shared" si="2"/>
        <v>-0.11131837397328533</v>
      </c>
      <c r="K30" s="412">
        <v>-143059</v>
      </c>
      <c r="L30" s="434">
        <f t="shared" si="3"/>
        <v>-0.10996079938508839</v>
      </c>
      <c r="M30" s="422">
        <f t="shared" si="7"/>
        <v>657.4468871324334</v>
      </c>
      <c r="N30" s="412">
        <f t="shared" si="11"/>
        <v>-262.08</v>
      </c>
      <c r="O30" s="452">
        <v>-150</v>
      </c>
      <c r="P30" s="412">
        <f t="shared" si="9"/>
        <v>-132991.68017966812</v>
      </c>
      <c r="Q30" s="419">
        <f t="shared" si="4"/>
        <v>-0.10222265963079795</v>
      </c>
      <c r="R30" s="433">
        <f t="shared" si="5"/>
        <v>507.4468871324334</v>
      </c>
      <c r="S30" s="435">
        <f t="shared" si="6"/>
        <v>2563.8151163994926</v>
      </c>
      <c r="T30" s="716"/>
      <c r="U30" s="179"/>
      <c r="V30" s="179"/>
      <c r="W30" s="179"/>
    </row>
    <row r="31" spans="1:23">
      <c r="A31" s="411">
        <v>28</v>
      </c>
      <c r="B31" s="695">
        <v>1164062</v>
      </c>
      <c r="C31" s="412">
        <v>1084360</v>
      </c>
      <c r="D31" s="698">
        <v>1111206</v>
      </c>
      <c r="E31" s="413">
        <f t="shared" si="13"/>
        <v>1.4049503468232119E-2</v>
      </c>
      <c r="F31" s="412">
        <f t="shared" si="12"/>
        <v>1183000</v>
      </c>
      <c r="G31" s="452"/>
      <c r="H31" s="468">
        <f t="shared" si="1"/>
        <v>1183000</v>
      </c>
      <c r="I31" s="694">
        <v>-148444</v>
      </c>
      <c r="J31" s="419">
        <f t="shared" si="2"/>
        <v>-0.13358819156844007</v>
      </c>
      <c r="K31" s="412">
        <v>-143059</v>
      </c>
      <c r="L31" s="434">
        <f t="shared" si="3"/>
        <v>-0.12092899408284023</v>
      </c>
      <c r="M31" s="422">
        <f t="shared" si="7"/>
        <v>657.4468871324334</v>
      </c>
      <c r="N31" s="412">
        <f t="shared" si="11"/>
        <v>-262.08</v>
      </c>
      <c r="O31" s="452">
        <v>-250</v>
      </c>
      <c r="P31" s="412">
        <f t="shared" si="9"/>
        <v>-106783.68017966814</v>
      </c>
      <c r="Q31" s="419">
        <f t="shared" si="4"/>
        <v>-9.0265156533954477E-2</v>
      </c>
      <c r="R31" s="433">
        <f t="shared" si="5"/>
        <v>407.4468871324334</v>
      </c>
      <c r="S31" s="435">
        <f t="shared" si="6"/>
        <v>2903.445914940778</v>
      </c>
      <c r="T31" s="716"/>
      <c r="U31" s="179"/>
      <c r="V31" s="179"/>
      <c r="W31" s="179"/>
    </row>
    <row r="32" spans="1:23">
      <c r="A32" s="411">
        <v>29</v>
      </c>
      <c r="B32" s="695">
        <v>1081060</v>
      </c>
      <c r="C32" s="412">
        <v>1062205</v>
      </c>
      <c r="D32" s="698">
        <v>1059833</v>
      </c>
      <c r="E32" s="413">
        <f t="shared" si="13"/>
        <v>1.3047721014316262E-2</v>
      </c>
      <c r="F32" s="412">
        <f>CEILING(E32*SUM(C$3:C$55),1000)</f>
        <v>1098000</v>
      </c>
      <c r="G32" s="452"/>
      <c r="H32" s="468">
        <f t="shared" si="1"/>
        <v>1098000</v>
      </c>
      <c r="I32" s="694">
        <v>-132631</v>
      </c>
      <c r="J32" s="419">
        <f t="shared" si="2"/>
        <v>-0.12514330087853465</v>
      </c>
      <c r="K32" s="412">
        <v>-143059</v>
      </c>
      <c r="L32" s="434">
        <f t="shared" si="3"/>
        <v>-0.13029052823315118</v>
      </c>
      <c r="M32" s="422">
        <f t="shared" si="7"/>
        <v>657.4468871324334</v>
      </c>
      <c r="N32" s="412">
        <f t="shared" si="11"/>
        <v>-262.08</v>
      </c>
      <c r="O32" s="452">
        <v>-300</v>
      </c>
      <c r="P32" s="412">
        <f t="shared" si="9"/>
        <v>-93679.680179668139</v>
      </c>
      <c r="Q32" s="419">
        <f t="shared" si="4"/>
        <v>-8.5318470108987382E-2</v>
      </c>
      <c r="R32" s="433">
        <f t="shared" si="5"/>
        <v>357.4468871324334</v>
      </c>
      <c r="S32" s="435">
        <f t="shared" si="6"/>
        <v>3071.7850386348255</v>
      </c>
      <c r="T32" s="716"/>
      <c r="U32" s="179"/>
      <c r="V32" s="179"/>
      <c r="W32" s="179"/>
    </row>
    <row r="33" spans="1:23">
      <c r="A33" s="411">
        <v>30</v>
      </c>
      <c r="B33" s="695">
        <v>1056906</v>
      </c>
      <c r="C33" s="412">
        <v>1183107</v>
      </c>
      <c r="D33" s="698">
        <v>1038179</v>
      </c>
      <c r="E33" s="413">
        <f t="shared" si="13"/>
        <v>1.2756197275227038E-2</v>
      </c>
      <c r="F33" s="412">
        <f>CEILING(E33*SUM(C$3:C$55),1000)</f>
        <v>1074000</v>
      </c>
      <c r="G33" s="452"/>
      <c r="H33" s="468">
        <f t="shared" si="1"/>
        <v>1074000</v>
      </c>
      <c r="I33" s="694">
        <v>-131869</v>
      </c>
      <c r="J33" s="419">
        <f t="shared" si="2"/>
        <v>-0.12701952168171385</v>
      </c>
      <c r="K33" s="412">
        <v>-150766</v>
      </c>
      <c r="L33" s="434">
        <f t="shared" si="3"/>
        <v>-0.1403780260707635</v>
      </c>
      <c r="M33" s="422">
        <f t="shared" si="7"/>
        <v>657.4468871324334</v>
      </c>
      <c r="N33" s="412">
        <f t="shared" si="11"/>
        <v>-262.08</v>
      </c>
      <c r="O33" s="452">
        <v>-300</v>
      </c>
      <c r="P33" s="412">
        <f t="shared" si="9"/>
        <v>-93679.680179668139</v>
      </c>
      <c r="Q33" s="419">
        <f t="shared" si="4"/>
        <v>-8.7225028100249666E-2</v>
      </c>
      <c r="R33" s="433">
        <f t="shared" si="5"/>
        <v>357.4468871324334</v>
      </c>
      <c r="S33" s="435">
        <f t="shared" si="6"/>
        <v>3004.6421962602935</v>
      </c>
      <c r="T33" s="716"/>
      <c r="U33" s="179"/>
      <c r="V33" s="179"/>
      <c r="W33" s="179"/>
    </row>
    <row r="34" spans="1:23">
      <c r="A34" s="411">
        <v>31</v>
      </c>
      <c r="B34" s="695">
        <v>1219002</v>
      </c>
      <c r="C34" s="412">
        <v>1392048</v>
      </c>
      <c r="D34" s="698">
        <v>1156346</v>
      </c>
      <c r="E34" s="413">
        <f t="shared" si="13"/>
        <v>1.4712595056605137E-2</v>
      </c>
      <c r="F34" s="412">
        <f t="shared" si="12"/>
        <v>1238000</v>
      </c>
      <c r="G34" s="452"/>
      <c r="H34" s="468">
        <f t="shared" si="1"/>
        <v>1238000</v>
      </c>
      <c r="I34" s="694">
        <v>-122601</v>
      </c>
      <c r="J34" s="419">
        <f t="shared" si="2"/>
        <v>-0.10602449439873533</v>
      </c>
      <c r="K34" s="412">
        <v>-155903</v>
      </c>
      <c r="L34" s="434">
        <f t="shared" si="3"/>
        <v>-0.12593134087237479</v>
      </c>
      <c r="M34" s="422">
        <f t="shared" si="7"/>
        <v>657.4468871324334</v>
      </c>
      <c r="N34" s="412">
        <f t="shared" si="11"/>
        <v>-262.08</v>
      </c>
      <c r="O34" s="452">
        <v>-250</v>
      </c>
      <c r="P34" s="412">
        <f t="shared" si="9"/>
        <v>-106783.68017966814</v>
      </c>
      <c r="Q34" s="419">
        <f t="shared" si="4"/>
        <v>-8.6254992067583316E-2</v>
      </c>
      <c r="R34" s="433">
        <f t="shared" si="5"/>
        <v>407.4468871324334</v>
      </c>
      <c r="S34" s="435">
        <f t="shared" si="6"/>
        <v>3038.4328340631305</v>
      </c>
      <c r="T34" s="716"/>
      <c r="U34" s="179"/>
      <c r="V34" s="179"/>
      <c r="W34" s="179"/>
    </row>
    <row r="35" spans="1:23">
      <c r="A35" s="411">
        <v>32</v>
      </c>
      <c r="B35" s="695">
        <v>1360509</v>
      </c>
      <c r="C35" s="412">
        <v>1601848</v>
      </c>
      <c r="D35" s="698">
        <v>1261389</v>
      </c>
      <c r="E35" s="413">
        <f t="shared" si="13"/>
        <v>1.6420496428936785E-2</v>
      </c>
      <c r="F35" s="412">
        <f t="shared" si="12"/>
        <v>1382000</v>
      </c>
      <c r="G35" s="452"/>
      <c r="H35" s="468">
        <f t="shared" si="1"/>
        <v>1382000</v>
      </c>
      <c r="I35" s="694">
        <v>-142725</v>
      </c>
      <c r="J35" s="419">
        <f t="shared" si="2"/>
        <v>-0.11314907613749604</v>
      </c>
      <c r="K35" s="412">
        <v>-163610</v>
      </c>
      <c r="L35" s="434">
        <f t="shared" si="3"/>
        <v>-0.1183863965267728</v>
      </c>
      <c r="M35" s="422">
        <f t="shared" si="7"/>
        <v>657.4468871324334</v>
      </c>
      <c r="N35" s="412">
        <f t="shared" si="11"/>
        <v>-262.08</v>
      </c>
      <c r="O35" s="452">
        <v>-175</v>
      </c>
      <c r="P35" s="412">
        <f t="shared" ref="P35:P54" si="14">(M35+O35)*N35</f>
        <v>-126439.68017966814</v>
      </c>
      <c r="Q35" s="419">
        <f t="shared" ref="Q35:Q57" si="15">P35/H35</f>
        <v>-9.1490361924506616E-2</v>
      </c>
      <c r="R35" s="433">
        <f t="shared" si="5"/>
        <v>482.4468871324334</v>
      </c>
      <c r="S35" s="435">
        <f t="shared" si="6"/>
        <v>2864.5640315234036</v>
      </c>
      <c r="T35" s="716"/>
      <c r="U35" s="179"/>
      <c r="V35" s="179"/>
      <c r="W35" s="179"/>
    </row>
    <row r="36" spans="1:23">
      <c r="A36" s="411">
        <v>33</v>
      </c>
      <c r="B36" s="695">
        <v>1653580</v>
      </c>
      <c r="C36" s="412">
        <v>1677162</v>
      </c>
      <c r="D36" s="698">
        <v>1390682</v>
      </c>
      <c r="E36" s="413">
        <f>B36/SUM(B$3:B$56)</f>
        <v>1.9957680901016673E-2</v>
      </c>
      <c r="F36" s="412">
        <f t="shared" si="12"/>
        <v>1680000</v>
      </c>
      <c r="G36" s="452">
        <v>-50000</v>
      </c>
      <c r="H36" s="468">
        <f t="shared" si="1"/>
        <v>1630000</v>
      </c>
      <c r="I36" s="694">
        <v>-162203</v>
      </c>
      <c r="J36" s="419">
        <f t="shared" si="2"/>
        <v>-0.11663557880234303</v>
      </c>
      <c r="K36" s="412">
        <v>-176454</v>
      </c>
      <c r="L36" s="434">
        <f t="shared" si="3"/>
        <v>-0.10825398773006135</v>
      </c>
      <c r="M36" s="422">
        <f t="shared" si="7"/>
        <v>657.4468871324334</v>
      </c>
      <c r="N36" s="412">
        <f t="shared" si="11"/>
        <v>-262.08</v>
      </c>
      <c r="O36" s="452"/>
      <c r="P36" s="412">
        <f t="shared" si="14"/>
        <v>-172303.68017966812</v>
      </c>
      <c r="Q36" s="419">
        <f t="shared" si="15"/>
        <v>-0.10570777925133014</v>
      </c>
      <c r="R36" s="433">
        <f t="shared" si="5"/>
        <v>657.4468871324334</v>
      </c>
      <c r="S36" s="435">
        <f t="shared" si="6"/>
        <v>2479.2877294005038</v>
      </c>
      <c r="T36" s="716"/>
      <c r="U36" s="179"/>
      <c r="V36" s="179"/>
      <c r="W36" s="179"/>
    </row>
    <row r="37" spans="1:23">
      <c r="A37" s="411">
        <v>34</v>
      </c>
      <c r="B37" s="695">
        <v>1668548</v>
      </c>
      <c r="C37" s="412">
        <v>1625211</v>
      </c>
      <c r="D37" s="698">
        <v>1626613</v>
      </c>
      <c r="E37" s="413">
        <f>B37/SUM(B$3:B$56)</f>
        <v>2.0138335340309853E-2</v>
      </c>
      <c r="F37" s="412">
        <f>CEILING(E37*SUM(C$3:C$55),1000)</f>
        <v>1695000</v>
      </c>
      <c r="G37" s="452"/>
      <c r="H37" s="468">
        <f t="shared" si="1"/>
        <v>1695000</v>
      </c>
      <c r="I37" s="694">
        <v>-169346</v>
      </c>
      <c r="J37" s="419">
        <f t="shared" si="2"/>
        <v>-0.1041095823038424</v>
      </c>
      <c r="K37" s="412">
        <v>-176454</v>
      </c>
      <c r="L37" s="434">
        <f t="shared" si="3"/>
        <v>-0.10410265486725663</v>
      </c>
      <c r="M37" s="422">
        <f t="shared" si="7"/>
        <v>657.4468871324334</v>
      </c>
      <c r="N37" s="412">
        <f t="shared" si="11"/>
        <v>-262.08</v>
      </c>
      <c r="O37" s="452"/>
      <c r="P37" s="412">
        <f t="shared" si="14"/>
        <v>-172303.68017966812</v>
      </c>
      <c r="Q37" s="419">
        <f t="shared" si="15"/>
        <v>-0.10165408860157411</v>
      </c>
      <c r="R37" s="433">
        <f t="shared" si="5"/>
        <v>657.4468871324334</v>
      </c>
      <c r="S37" s="435">
        <f t="shared" si="6"/>
        <v>2578.1550314931619</v>
      </c>
      <c r="T37" s="716"/>
      <c r="U37" s="179"/>
      <c r="V37" s="179"/>
      <c r="W37" s="179"/>
    </row>
    <row r="38" spans="1:23">
      <c r="A38" s="411">
        <v>35</v>
      </c>
      <c r="B38" s="695">
        <v>1520034</v>
      </c>
      <c r="C38" s="412">
        <v>1642675</v>
      </c>
      <c r="D38" s="698">
        <v>1453851</v>
      </c>
      <c r="E38" s="413">
        <f t="shared" si="13"/>
        <v>1.8345863841299468E-2</v>
      </c>
      <c r="F38" s="412">
        <f t="shared" si="12"/>
        <v>1544000</v>
      </c>
      <c r="G38" s="452">
        <v>50000</v>
      </c>
      <c r="H38" s="468">
        <f t="shared" si="1"/>
        <v>1594000</v>
      </c>
      <c r="I38" s="694">
        <v>-167070</v>
      </c>
      <c r="J38" s="419">
        <f t="shared" si="2"/>
        <v>-0.11491548996423981</v>
      </c>
      <c r="K38" s="412">
        <v>-176454</v>
      </c>
      <c r="L38" s="434">
        <f t="shared" si="3"/>
        <v>-0.11069887076537013</v>
      </c>
      <c r="M38" s="422">
        <f t="shared" si="7"/>
        <v>657.4468871324334</v>
      </c>
      <c r="N38" s="412">
        <f t="shared" si="11"/>
        <v>-262.08</v>
      </c>
      <c r="O38" s="452"/>
      <c r="P38" s="412">
        <f t="shared" si="14"/>
        <v>-172303.68017966812</v>
      </c>
      <c r="Q38" s="419">
        <f t="shared" si="15"/>
        <v>-0.10809515695085829</v>
      </c>
      <c r="R38" s="433">
        <f t="shared" si="5"/>
        <v>657.4468871324334</v>
      </c>
      <c r="S38" s="435">
        <f t="shared" si="6"/>
        <v>2424.5304543953393</v>
      </c>
      <c r="T38" s="716"/>
      <c r="U38" s="179"/>
      <c r="V38" s="179"/>
      <c r="W38" s="179"/>
    </row>
    <row r="39" spans="1:23">
      <c r="A39" s="411">
        <v>36</v>
      </c>
      <c r="B39" s="695">
        <v>1546877</v>
      </c>
      <c r="C39" s="412">
        <v>1672010</v>
      </c>
      <c r="D39" s="698">
        <v>1483453</v>
      </c>
      <c r="E39" s="413">
        <f>B39/SUM(B$3:B$56)</f>
        <v>1.8669842135924458E-2</v>
      </c>
      <c r="F39" s="412">
        <f t="shared" ref="F39:F45" si="16">CEILING(E39*SUM(C$3:C$55),1000)</f>
        <v>1571000</v>
      </c>
      <c r="G39" s="452">
        <v>200000</v>
      </c>
      <c r="H39" s="468">
        <f t="shared" si="1"/>
        <v>1771000</v>
      </c>
      <c r="I39" s="694">
        <v>-157270</v>
      </c>
      <c r="J39" s="419">
        <f t="shared" si="2"/>
        <v>-0.10601616633624389</v>
      </c>
      <c r="K39" s="412">
        <v>-176454</v>
      </c>
      <c r="L39" s="434">
        <f t="shared" si="3"/>
        <v>-9.9635234330886502E-2</v>
      </c>
      <c r="M39" s="422">
        <f t="shared" si="7"/>
        <v>657.4468871324334</v>
      </c>
      <c r="N39" s="412">
        <f t="shared" si="11"/>
        <v>-262.08</v>
      </c>
      <c r="O39" s="452"/>
      <c r="P39" s="412">
        <f t="shared" si="14"/>
        <v>-172303.68017966812</v>
      </c>
      <c r="Q39" s="419">
        <f t="shared" si="15"/>
        <v>-9.7291744878412273E-2</v>
      </c>
      <c r="R39" s="433">
        <f t="shared" si="5"/>
        <v>657.4468871324334</v>
      </c>
      <c r="S39" s="435">
        <f t="shared" si="6"/>
        <v>2693.7537231707311</v>
      </c>
      <c r="T39" s="716"/>
      <c r="U39" s="179"/>
      <c r="V39" s="179"/>
      <c r="W39" s="179"/>
    </row>
    <row r="40" spans="1:23">
      <c r="A40" s="411">
        <v>37</v>
      </c>
      <c r="B40" s="695">
        <v>1536453</v>
      </c>
      <c r="C40" s="412">
        <v>1683064</v>
      </c>
      <c r="D40" s="698">
        <v>1553382</v>
      </c>
      <c r="E40" s="413">
        <f t="shared" si="13"/>
        <v>1.8544030947042035E-2</v>
      </c>
      <c r="F40" s="412">
        <f t="shared" si="16"/>
        <v>1561000</v>
      </c>
      <c r="G40" s="452">
        <v>200000</v>
      </c>
      <c r="H40" s="468">
        <f t="shared" si="1"/>
        <v>1761000</v>
      </c>
      <c r="I40" s="694">
        <v>-163181</v>
      </c>
      <c r="J40" s="419">
        <f t="shared" si="2"/>
        <v>-0.10504885469253539</v>
      </c>
      <c r="K40" s="412">
        <v>-176454</v>
      </c>
      <c r="L40" s="434">
        <f t="shared" si="3"/>
        <v>-0.10020102214650767</v>
      </c>
      <c r="M40" s="422">
        <f t="shared" si="7"/>
        <v>657.4468871324334</v>
      </c>
      <c r="N40" s="412">
        <f t="shared" si="11"/>
        <v>-262.08</v>
      </c>
      <c r="O40" s="452"/>
      <c r="P40" s="412">
        <f t="shared" si="14"/>
        <v>-172303.68017966812</v>
      </c>
      <c r="Q40" s="419">
        <f t="shared" si="15"/>
        <v>-9.7844224974257876E-2</v>
      </c>
      <c r="R40" s="433">
        <f t="shared" si="5"/>
        <v>657.4468871324334</v>
      </c>
      <c r="S40" s="435">
        <f t="shared" si="6"/>
        <v>2678.5433690026298</v>
      </c>
      <c r="T40" s="716"/>
      <c r="U40" s="179"/>
      <c r="V40" s="179"/>
      <c r="W40" s="179"/>
    </row>
    <row r="41" spans="1:23">
      <c r="A41" s="411">
        <v>38</v>
      </c>
      <c r="B41" s="695">
        <v>1547257</v>
      </c>
      <c r="C41" s="412">
        <v>1738793</v>
      </c>
      <c r="D41" s="698">
        <v>1513581</v>
      </c>
      <c r="E41" s="413">
        <f>B41/SUM(B$3:B$56)</f>
        <v>1.8674428499295077E-2</v>
      </c>
      <c r="F41" s="412">
        <f t="shared" si="16"/>
        <v>1572000</v>
      </c>
      <c r="G41" s="452"/>
      <c r="H41" s="468">
        <f t="shared" si="1"/>
        <v>1572000</v>
      </c>
      <c r="I41" s="694">
        <v>-176295</v>
      </c>
      <c r="J41" s="419">
        <f t="shared" si="2"/>
        <v>-0.11647543144370866</v>
      </c>
      <c r="K41" s="412">
        <v>-176454</v>
      </c>
      <c r="L41" s="434">
        <f t="shared" si="3"/>
        <v>-0.11224809160305343</v>
      </c>
      <c r="M41" s="422">
        <f t="shared" si="7"/>
        <v>657.4468871324334</v>
      </c>
      <c r="N41" s="412">
        <f t="shared" si="11"/>
        <v>-262.08</v>
      </c>
      <c r="O41" s="452"/>
      <c r="P41" s="412">
        <f t="shared" si="14"/>
        <v>-172303.68017966812</v>
      </c>
      <c r="Q41" s="419">
        <f t="shared" si="15"/>
        <v>-0.10960793904559041</v>
      </c>
      <c r="R41" s="433">
        <f t="shared" si="5"/>
        <v>657.4468871324334</v>
      </c>
      <c r="S41" s="435">
        <f t="shared" si="6"/>
        <v>2391.0676752255163</v>
      </c>
      <c r="T41" s="716"/>
      <c r="U41" s="179"/>
      <c r="V41" s="179"/>
      <c r="W41" s="179"/>
    </row>
    <row r="42" spans="1:23">
      <c r="A42" s="411">
        <v>39</v>
      </c>
      <c r="B42" s="695">
        <v>1748333</v>
      </c>
      <c r="C42" s="412">
        <v>1596433</v>
      </c>
      <c r="D42" s="698">
        <v>1394687</v>
      </c>
      <c r="E42" s="413">
        <f t="shared" si="13"/>
        <v>2.1101290607480241E-2</v>
      </c>
      <c r="F42" s="412">
        <f t="shared" si="16"/>
        <v>1776000</v>
      </c>
      <c r="G42" s="452">
        <v>-150000</v>
      </c>
      <c r="H42" s="468">
        <f t="shared" si="1"/>
        <v>1626000</v>
      </c>
      <c r="I42" s="694">
        <v>-153900</v>
      </c>
      <c r="J42" s="419">
        <f t="shared" si="2"/>
        <v>-0.11034733958228621</v>
      </c>
      <c r="K42" s="412">
        <v>-176454</v>
      </c>
      <c r="L42" s="434">
        <f t="shared" si="3"/>
        <v>-0.10852029520295203</v>
      </c>
      <c r="M42" s="422">
        <f t="shared" si="7"/>
        <v>657.4468871324334</v>
      </c>
      <c r="N42" s="412">
        <f t="shared" si="11"/>
        <v>-262.08</v>
      </c>
      <c r="O42" s="452"/>
      <c r="P42" s="412">
        <f t="shared" si="14"/>
        <v>-172303.68017966812</v>
      </c>
      <c r="Q42" s="419">
        <f t="shared" si="15"/>
        <v>-0.10596782298872578</v>
      </c>
      <c r="R42" s="433">
        <f t="shared" si="5"/>
        <v>657.4468871324334</v>
      </c>
      <c r="S42" s="435">
        <f t="shared" si="6"/>
        <v>2473.2035877332632</v>
      </c>
      <c r="T42" s="716"/>
      <c r="U42" s="179"/>
      <c r="V42" s="179"/>
      <c r="W42" s="179"/>
    </row>
    <row r="43" spans="1:23">
      <c r="A43" s="411">
        <v>40</v>
      </c>
      <c r="B43" s="696">
        <v>1462568</v>
      </c>
      <c r="C43" s="412">
        <v>1686000</v>
      </c>
      <c r="D43" s="703">
        <v>1301936</v>
      </c>
      <c r="E43" s="413">
        <f>B43/SUM(B$3:B$56)</f>
        <v>1.7652285005889133E-2</v>
      </c>
      <c r="F43" s="704">
        <f t="shared" si="16"/>
        <v>1486000</v>
      </c>
      <c r="G43" s="452"/>
      <c r="H43" s="468">
        <f t="shared" si="1"/>
        <v>1486000</v>
      </c>
      <c r="I43" s="694">
        <v>-172313</v>
      </c>
      <c r="J43" s="419">
        <f t="shared" si="2"/>
        <v>-0.13235135982106647</v>
      </c>
      <c r="K43" s="704">
        <v>-176454</v>
      </c>
      <c r="L43" s="434">
        <f t="shared" si="3"/>
        <v>-0.1187442799461642</v>
      </c>
      <c r="M43" s="422">
        <f t="shared" si="7"/>
        <v>657.4468871324334</v>
      </c>
      <c r="N43" s="412">
        <f t="shared" si="11"/>
        <v>-262.08</v>
      </c>
      <c r="O43" s="452"/>
      <c r="P43" s="412">
        <f t="shared" si="14"/>
        <v>-172303.68017966812</v>
      </c>
      <c r="Q43" s="419">
        <f t="shared" si="15"/>
        <v>-0.1159513325569772</v>
      </c>
      <c r="R43" s="433">
        <f t="shared" si="5"/>
        <v>657.4468871324334</v>
      </c>
      <c r="S43" s="435">
        <f t="shared" si="6"/>
        <v>2260.2586293798458</v>
      </c>
      <c r="T43" s="716"/>
      <c r="U43" s="179"/>
      <c r="V43" s="179"/>
      <c r="W43" s="179"/>
    </row>
    <row r="44" spans="1:23">
      <c r="A44" s="411">
        <v>41</v>
      </c>
      <c r="B44" s="695">
        <v>1760999</v>
      </c>
      <c r="C44" s="412">
        <v>1719000</v>
      </c>
      <c r="D44" s="698">
        <v>1298327</v>
      </c>
      <c r="E44" s="413">
        <f t="shared" si="13"/>
        <v>2.1254161340249312E-2</v>
      </c>
      <c r="F44" s="412">
        <f t="shared" si="16"/>
        <v>1789000</v>
      </c>
      <c r="G44" s="452">
        <v>-150000</v>
      </c>
      <c r="H44" s="468">
        <f t="shared" si="1"/>
        <v>1639000</v>
      </c>
      <c r="I44" s="694">
        <v>-158927</v>
      </c>
      <c r="J44" s="419">
        <f t="shared" si="2"/>
        <v>-0.12240906951792577</v>
      </c>
      <c r="K44" s="412">
        <v>-176454</v>
      </c>
      <c r="L44" s="434">
        <f t="shared" si="3"/>
        <v>-0.1076595485051861</v>
      </c>
      <c r="M44" s="425">
        <f t="shared" si="7"/>
        <v>657.4468871324334</v>
      </c>
      <c r="N44" s="423">
        <f t="shared" si="11"/>
        <v>-262.08</v>
      </c>
      <c r="O44" s="718"/>
      <c r="P44" s="423">
        <f t="shared" si="14"/>
        <v>-172303.68017966812</v>
      </c>
      <c r="Q44" s="429">
        <f t="shared" si="15"/>
        <v>-0.10512732164714346</v>
      </c>
      <c r="R44" s="463">
        <f t="shared" si="5"/>
        <v>657.4468871324334</v>
      </c>
      <c r="S44" s="438">
        <f t="shared" si="6"/>
        <v>2492.9770481517949</v>
      </c>
      <c r="T44" s="716"/>
      <c r="U44" s="179"/>
      <c r="V44" s="179"/>
      <c r="W44" s="179"/>
    </row>
    <row r="45" spans="1:23">
      <c r="A45" s="411">
        <v>42</v>
      </c>
      <c r="B45" s="695">
        <v>1729798</v>
      </c>
      <c r="C45" s="412">
        <v>1651574</v>
      </c>
      <c r="D45" s="698">
        <v>1052480</v>
      </c>
      <c r="E45" s="413">
        <f t="shared" si="13"/>
        <v>2.087758469938971E-2</v>
      </c>
      <c r="F45" s="412">
        <f t="shared" si="16"/>
        <v>1757000</v>
      </c>
      <c r="G45" s="452"/>
      <c r="H45" s="468">
        <f t="shared" si="1"/>
        <v>1757000</v>
      </c>
      <c r="I45" s="694">
        <v>-215449</v>
      </c>
      <c r="J45" s="419">
        <f t="shared" si="2"/>
        <v>-0.20470602766798418</v>
      </c>
      <c r="K45" s="412">
        <v>-176454</v>
      </c>
      <c r="L45" s="434">
        <f t="shared" si="3"/>
        <v>-0.10042914058053501</v>
      </c>
      <c r="M45" s="422">
        <f t="shared" si="7"/>
        <v>657.4468871324334</v>
      </c>
      <c r="N45" s="412">
        <f t="shared" si="11"/>
        <v>-262.08</v>
      </c>
      <c r="O45" s="452"/>
      <c r="P45" s="412">
        <f t="shared" si="14"/>
        <v>-172303.68017966812</v>
      </c>
      <c r="Q45" s="419">
        <f t="shared" si="15"/>
        <v>-9.8066977905331892E-2</v>
      </c>
      <c r="R45" s="433">
        <f t="shared" si="5"/>
        <v>657.4468871324334</v>
      </c>
      <c r="S45" s="435">
        <f t="shared" si="6"/>
        <v>2672.4592273353896</v>
      </c>
      <c r="T45" s="716"/>
      <c r="U45" s="179"/>
      <c r="V45" s="179"/>
      <c r="W45" s="179"/>
    </row>
    <row r="46" spans="1:23">
      <c r="A46" s="411">
        <v>43</v>
      </c>
      <c r="B46" s="695">
        <v>1614217</v>
      </c>
      <c r="C46" s="412">
        <v>1703163</v>
      </c>
      <c r="D46" s="698">
        <v>1049610</v>
      </c>
      <c r="E46" s="413">
        <f>B46/SUM(B$3:B$56)</f>
        <v>1.9482594002707115E-2</v>
      </c>
      <c r="F46" s="412">
        <f t="shared" ref="F46:F52" si="17">CEILING(E46*SUM(C$3:C$55),1000)</f>
        <v>1640000</v>
      </c>
      <c r="G46" s="452">
        <v>125000</v>
      </c>
      <c r="H46" s="468">
        <f t="shared" si="1"/>
        <v>1765000</v>
      </c>
      <c r="I46" s="694">
        <v>-227667</v>
      </c>
      <c r="J46" s="419">
        <f t="shared" si="2"/>
        <v>-0.21690627947523367</v>
      </c>
      <c r="K46" s="412">
        <v>-176454</v>
      </c>
      <c r="L46" s="434">
        <f t="shared" si="3"/>
        <v>-9.9973937677053828E-2</v>
      </c>
      <c r="M46" s="427">
        <f t="shared" si="7"/>
        <v>657.4468871324334</v>
      </c>
      <c r="N46" s="418">
        <f t="shared" si="11"/>
        <v>-262.08</v>
      </c>
      <c r="O46" s="455">
        <v>250</v>
      </c>
      <c r="P46" s="418">
        <f t="shared" si="14"/>
        <v>-237823.68017966812</v>
      </c>
      <c r="Q46" s="420">
        <f t="shared" si="15"/>
        <v>-0.1347442947193587</v>
      </c>
      <c r="R46" s="462">
        <f t="shared" si="5"/>
        <v>907.4468871324334</v>
      </c>
      <c r="S46" s="437">
        <f t="shared" si="6"/>
        <v>1945.0174164765356</v>
      </c>
      <c r="T46" s="716"/>
      <c r="U46" s="179"/>
      <c r="V46" s="179"/>
      <c r="W46" s="179"/>
    </row>
    <row r="47" spans="1:23">
      <c r="A47" s="411">
        <v>44</v>
      </c>
      <c r="B47" s="695">
        <v>1664639</v>
      </c>
      <c r="C47" s="412">
        <v>1731000</v>
      </c>
      <c r="D47" s="698">
        <v>1601597</v>
      </c>
      <c r="E47" s="413">
        <f t="shared" si="13"/>
        <v>2.0091156144478942E-2</v>
      </c>
      <c r="F47" s="412">
        <f t="shared" si="17"/>
        <v>1691000</v>
      </c>
      <c r="G47" s="452"/>
      <c r="H47" s="468">
        <f t="shared" si="1"/>
        <v>1691000</v>
      </c>
      <c r="I47" s="694">
        <v>-207478</v>
      </c>
      <c r="J47" s="419">
        <f t="shared" si="2"/>
        <v>-0.12954444844739343</v>
      </c>
      <c r="K47" s="412">
        <v>-238105</v>
      </c>
      <c r="L47" s="434">
        <f t="shared" si="3"/>
        <v>-0.14080721466587817</v>
      </c>
      <c r="M47" s="422">
        <f t="shared" si="7"/>
        <v>657.4468871324334</v>
      </c>
      <c r="N47" s="412">
        <f t="shared" si="11"/>
        <v>-262.08</v>
      </c>
      <c r="O47" s="452"/>
      <c r="P47" s="412">
        <f t="shared" si="14"/>
        <v>-172303.68017966812</v>
      </c>
      <c r="Q47" s="419">
        <f t="shared" si="15"/>
        <v>-0.1018945477112171</v>
      </c>
      <c r="R47" s="433">
        <f t="shared" si="5"/>
        <v>657.4468871324334</v>
      </c>
      <c r="S47" s="435">
        <f t="shared" si="6"/>
        <v>2572.0708898259213</v>
      </c>
      <c r="T47" s="716"/>
      <c r="U47" s="179"/>
      <c r="V47" s="179"/>
      <c r="W47" s="179"/>
    </row>
    <row r="48" spans="1:23">
      <c r="A48" s="411">
        <v>45</v>
      </c>
      <c r="B48" s="695">
        <v>1733639</v>
      </c>
      <c r="C48" s="412">
        <v>1695716</v>
      </c>
      <c r="D48" s="698">
        <v>1562477</v>
      </c>
      <c r="E48" s="413">
        <f t="shared" si="13"/>
        <v>2.0923943177564824E-2</v>
      </c>
      <c r="F48" s="412">
        <f t="shared" si="17"/>
        <v>1761000</v>
      </c>
      <c r="G48" s="452">
        <v>-100000</v>
      </c>
      <c r="H48" s="468">
        <f t="shared" si="1"/>
        <v>1661000</v>
      </c>
      <c r="I48" s="694">
        <v>-194591</v>
      </c>
      <c r="J48" s="419">
        <f t="shared" si="2"/>
        <v>-0.12454007322987794</v>
      </c>
      <c r="K48" s="412">
        <v>-176454</v>
      </c>
      <c r="L48" s="434">
        <f t="shared" si="3"/>
        <v>-0.10623359422034918</v>
      </c>
      <c r="M48" s="422">
        <f t="shared" si="7"/>
        <v>657.4468871324334</v>
      </c>
      <c r="N48" s="412">
        <f t="shared" si="11"/>
        <v>-262.08</v>
      </c>
      <c r="O48" s="452"/>
      <c r="P48" s="412">
        <f t="shared" si="14"/>
        <v>-172303.68017966812</v>
      </c>
      <c r="Q48" s="419">
        <f t="shared" si="15"/>
        <v>-0.1037349067908899</v>
      </c>
      <c r="R48" s="433">
        <f t="shared" si="5"/>
        <v>657.4468871324334</v>
      </c>
      <c r="S48" s="435">
        <f t="shared" si="6"/>
        <v>2526.4398273216175</v>
      </c>
      <c r="T48" s="716"/>
      <c r="U48" s="179"/>
      <c r="V48" s="179"/>
      <c r="W48" s="179"/>
    </row>
    <row r="49" spans="1:23">
      <c r="A49" s="411">
        <v>46</v>
      </c>
      <c r="B49" s="695">
        <v>1618265</v>
      </c>
      <c r="C49" s="412">
        <v>1746795</v>
      </c>
      <c r="D49" s="698">
        <v>1650508</v>
      </c>
      <c r="E49" s="413">
        <f>B49/SUM(B$3:B$56)</f>
        <v>1.9531450841981483E-2</v>
      </c>
      <c r="F49" s="412">
        <f t="shared" si="17"/>
        <v>1644000</v>
      </c>
      <c r="G49" s="452"/>
      <c r="H49" s="468">
        <f t="shared" si="1"/>
        <v>1644000</v>
      </c>
      <c r="I49" s="694">
        <v>-194780</v>
      </c>
      <c r="J49" s="419">
        <f t="shared" si="2"/>
        <v>-0.11801215141035366</v>
      </c>
      <c r="K49" s="412">
        <v>-176454</v>
      </c>
      <c r="L49" s="434">
        <f t="shared" si="3"/>
        <v>-0.10733211678832116</v>
      </c>
      <c r="M49" s="422">
        <f t="shared" si="7"/>
        <v>657.4468871324334</v>
      </c>
      <c r="N49" s="412">
        <f t="shared" si="11"/>
        <v>-262.08</v>
      </c>
      <c r="O49" s="452"/>
      <c r="P49" s="412">
        <f t="shared" si="14"/>
        <v>-172303.68017966812</v>
      </c>
      <c r="Q49" s="419">
        <f t="shared" si="15"/>
        <v>-0.1048075913501631</v>
      </c>
      <c r="R49" s="433">
        <f t="shared" si="5"/>
        <v>657.4468871324334</v>
      </c>
      <c r="S49" s="435">
        <f t="shared" si="6"/>
        <v>2500.5822252358453</v>
      </c>
      <c r="T49" s="716"/>
      <c r="U49" s="179"/>
      <c r="V49" s="179"/>
      <c r="W49" s="179"/>
    </row>
    <row r="50" spans="1:23">
      <c r="A50" s="411">
        <v>47</v>
      </c>
      <c r="B50" s="695">
        <v>1677963</v>
      </c>
      <c r="C50" s="412">
        <v>1758973</v>
      </c>
      <c r="D50" s="698">
        <v>1645519</v>
      </c>
      <c r="E50" s="413">
        <f>B50/SUM(B$3:B$56)</f>
        <v>2.0251968527505555E-2</v>
      </c>
      <c r="F50" s="412">
        <f t="shared" si="17"/>
        <v>1704000</v>
      </c>
      <c r="G50" s="452"/>
      <c r="H50" s="468">
        <f t="shared" si="1"/>
        <v>1704000</v>
      </c>
      <c r="I50" s="694">
        <v>-194385</v>
      </c>
      <c r="J50" s="419">
        <f t="shared" si="2"/>
        <v>-0.11812990308832653</v>
      </c>
      <c r="K50" s="412">
        <v>-176454</v>
      </c>
      <c r="L50" s="434">
        <f t="shared" si="3"/>
        <v>-0.10355281690140845</v>
      </c>
      <c r="M50" s="422">
        <f t="shared" si="7"/>
        <v>657.4468871324334</v>
      </c>
      <c r="N50" s="412">
        <f t="shared" si="11"/>
        <v>-262.08</v>
      </c>
      <c r="O50" s="452">
        <v>20</v>
      </c>
      <c r="P50" s="412">
        <f t="shared" si="14"/>
        <v>-177545.28017966813</v>
      </c>
      <c r="Q50" s="419">
        <f t="shared" si="15"/>
        <v>-0.10419323954205877</v>
      </c>
      <c r="R50" s="433">
        <f t="shared" si="5"/>
        <v>677.4468871324334</v>
      </c>
      <c r="S50" s="435">
        <f t="shared" si="6"/>
        <v>2515.3263412470101</v>
      </c>
      <c r="T50" s="716"/>
      <c r="U50" s="179"/>
      <c r="V50" s="179"/>
      <c r="W50" s="179"/>
    </row>
    <row r="51" spans="1:23">
      <c r="A51" s="411">
        <v>48</v>
      </c>
      <c r="B51" s="701">
        <v>1699639</v>
      </c>
      <c r="C51" s="412">
        <v>1792881</v>
      </c>
      <c r="D51" s="702">
        <v>1636756</v>
      </c>
      <c r="E51" s="413">
        <f>B51/SUM(B$3:B$56)</f>
        <v>2.0513584349667432E-2</v>
      </c>
      <c r="F51" s="417">
        <f t="shared" si="17"/>
        <v>1726000</v>
      </c>
      <c r="G51" s="452"/>
      <c r="H51" s="468">
        <f t="shared" si="1"/>
        <v>1726000</v>
      </c>
      <c r="I51" s="694">
        <v>-177809</v>
      </c>
      <c r="J51" s="419">
        <f t="shared" si="2"/>
        <v>-0.10863500729491751</v>
      </c>
      <c r="K51" s="417">
        <v>-176454</v>
      </c>
      <c r="L51" s="434">
        <f t="shared" si="3"/>
        <v>-0.10223290845886443</v>
      </c>
      <c r="M51" s="426">
        <f t="shared" si="7"/>
        <v>657.4468871324334</v>
      </c>
      <c r="N51" s="417">
        <f t="shared" si="11"/>
        <v>-262.08</v>
      </c>
      <c r="O51" s="458">
        <v>75</v>
      </c>
      <c r="P51" s="417">
        <f t="shared" si="14"/>
        <v>-191959.68017966812</v>
      </c>
      <c r="Q51" s="432">
        <f t="shared" si="15"/>
        <v>-0.11121650068346936</v>
      </c>
      <c r="R51" s="466">
        <f t="shared" si="5"/>
        <v>732.4468871324334</v>
      </c>
      <c r="S51" s="443">
        <f t="shared" si="6"/>
        <v>2356.4848596153874</v>
      </c>
      <c r="T51" s="716"/>
      <c r="U51" s="179"/>
      <c r="V51" s="179"/>
      <c r="W51" s="179"/>
    </row>
    <row r="52" spans="1:23">
      <c r="A52" s="411">
        <v>49</v>
      </c>
      <c r="B52" s="701">
        <v>1742554</v>
      </c>
      <c r="C52" s="412">
        <v>1831044</v>
      </c>
      <c r="D52" s="702">
        <v>1746649</v>
      </c>
      <c r="E52" s="413">
        <f>B52/SUM(B$3:B$56)</f>
        <v>2.1031541676114977E-2</v>
      </c>
      <c r="F52" s="417">
        <f t="shared" si="17"/>
        <v>1770000</v>
      </c>
      <c r="G52" s="452"/>
      <c r="H52" s="468">
        <f t="shared" si="1"/>
        <v>1770000</v>
      </c>
      <c r="I52" s="694">
        <v>-184724</v>
      </c>
      <c r="J52" s="419">
        <f t="shared" si="2"/>
        <v>-0.10575908496784414</v>
      </c>
      <c r="K52" s="417">
        <v>-176454</v>
      </c>
      <c r="L52" s="434">
        <f t="shared" si="3"/>
        <v>-9.9691525423728819E-2</v>
      </c>
      <c r="M52" s="426">
        <f t="shared" si="7"/>
        <v>657.4468871324334</v>
      </c>
      <c r="N52" s="417">
        <f t="shared" si="11"/>
        <v>-262.08</v>
      </c>
      <c r="O52" s="458">
        <v>100</v>
      </c>
      <c r="P52" s="417">
        <f t="shared" si="14"/>
        <v>-198511.68017966812</v>
      </c>
      <c r="Q52" s="432">
        <f t="shared" si="15"/>
        <v>-0.11215349162693114</v>
      </c>
      <c r="R52" s="466">
        <f t="shared" si="5"/>
        <v>757.4468871324334</v>
      </c>
      <c r="S52" s="443">
        <f t="shared" si="6"/>
        <v>2336.7975102530586</v>
      </c>
      <c r="T52" s="716"/>
      <c r="U52" s="179"/>
      <c r="V52" s="179"/>
      <c r="W52" s="179"/>
    </row>
    <row r="53" spans="1:23">
      <c r="A53" s="411">
        <v>50</v>
      </c>
      <c r="B53" s="701">
        <v>1789628</v>
      </c>
      <c r="C53" s="412">
        <v>1850457</v>
      </c>
      <c r="D53" s="702">
        <v>1726930</v>
      </c>
      <c r="E53" s="413">
        <f>B53/SUM(B$3:B$56)</f>
        <v>2.1599695542716204E-2</v>
      </c>
      <c r="F53" s="417">
        <f>CEILING(E53*SUM(C$3:C$55)*0.95,1000)</f>
        <v>1727000</v>
      </c>
      <c r="G53" s="452">
        <v>250000</v>
      </c>
      <c r="H53" s="468">
        <f t="shared" si="1"/>
        <v>1977000</v>
      </c>
      <c r="I53" s="694">
        <v>-181704</v>
      </c>
      <c r="J53" s="419">
        <f t="shared" si="2"/>
        <v>-0.10521793008402193</v>
      </c>
      <c r="K53" s="417">
        <v>-197004</v>
      </c>
      <c r="L53" s="434">
        <f t="shared" si="3"/>
        <v>-9.9647951441578148E-2</v>
      </c>
      <c r="M53" s="426">
        <f t="shared" si="7"/>
        <v>657.4468871324334</v>
      </c>
      <c r="N53" s="417">
        <f t="shared" si="11"/>
        <v>-262.08</v>
      </c>
      <c r="O53" s="458">
        <v>225</v>
      </c>
      <c r="P53" s="417">
        <f t="shared" si="14"/>
        <v>-231271.68017966812</v>
      </c>
      <c r="Q53" s="432">
        <f t="shared" si="15"/>
        <v>-0.11698112300438449</v>
      </c>
      <c r="R53" s="466">
        <f t="shared" si="5"/>
        <v>882.4468871324334</v>
      </c>
      <c r="S53" s="443">
        <f t="shared" si="6"/>
        <v>2240.3614640472988</v>
      </c>
      <c r="T53" s="716"/>
      <c r="U53" s="179"/>
      <c r="V53" s="179"/>
      <c r="W53" s="179"/>
    </row>
    <row r="54" spans="1:23">
      <c r="A54" s="411">
        <v>51</v>
      </c>
      <c r="B54" s="701">
        <v>2033399</v>
      </c>
      <c r="C54" s="412">
        <v>1941986</v>
      </c>
      <c r="D54" s="702">
        <v>1940042</v>
      </c>
      <c r="E54" s="413">
        <f>(B55+(B54*(2/6)))/SUM(B$3:B$56)</f>
        <v>2.7360755312573776E-2</v>
      </c>
      <c r="F54" s="417">
        <f>CEILING(E54*SUM(C$3:C$55)*1.1,1000)</f>
        <v>2533000</v>
      </c>
      <c r="G54" s="452">
        <v>-500000</v>
      </c>
      <c r="H54" s="468">
        <f t="shared" si="1"/>
        <v>2033000</v>
      </c>
      <c r="I54" s="694">
        <v>-204152</v>
      </c>
      <c r="J54" s="419">
        <f t="shared" si="2"/>
        <v>-0.1052307115000603</v>
      </c>
      <c r="K54" s="417">
        <v>-214986</v>
      </c>
      <c r="L54" s="434">
        <f t="shared" si="3"/>
        <v>-0.10574815543531726</v>
      </c>
      <c r="M54" s="426">
        <f t="shared" si="7"/>
        <v>657.4468871324334</v>
      </c>
      <c r="N54" s="417">
        <f t="shared" si="11"/>
        <v>-262.08</v>
      </c>
      <c r="O54" s="458">
        <v>650</v>
      </c>
      <c r="P54" s="417">
        <f t="shared" si="14"/>
        <v>-342655.68017966812</v>
      </c>
      <c r="Q54" s="432">
        <f t="shared" si="15"/>
        <v>-0.16854681759944326</v>
      </c>
      <c r="R54" s="466">
        <f t="shared" si="5"/>
        <v>1307.4468871324334</v>
      </c>
      <c r="S54" s="443">
        <f t="shared" si="6"/>
        <v>1554.9388812717975</v>
      </c>
      <c r="T54" s="716"/>
      <c r="U54" s="179"/>
      <c r="V54" s="179"/>
      <c r="W54" s="179"/>
    </row>
    <row r="55" spans="1:23">
      <c r="A55" s="411">
        <v>52</v>
      </c>
      <c r="B55" s="701">
        <v>1589157</v>
      </c>
      <c r="C55" s="412">
        <v>1354000</v>
      </c>
      <c r="D55" s="702">
        <v>1543637</v>
      </c>
      <c r="E55" s="413">
        <f>(B56+(B56/6))/SUM(B$3:B$56)</f>
        <v>1.6249447202404437E-2</v>
      </c>
      <c r="F55" s="412">
        <f>CEILING(E55*SUM(C$3:C$55)*1.1,1000)</f>
        <v>1504000</v>
      </c>
      <c r="G55" s="452">
        <v>66726</v>
      </c>
      <c r="H55" s="468">
        <f t="shared" si="1"/>
        <v>1570726</v>
      </c>
      <c r="I55" s="694">
        <v>-172116</v>
      </c>
      <c r="J55" s="419">
        <f t="shared" si="2"/>
        <v>-0.11150030739092157</v>
      </c>
      <c r="K55" s="412">
        <v>-186729</v>
      </c>
      <c r="L55" s="434">
        <f t="shared" si="3"/>
        <v>-0.11888069593296348</v>
      </c>
      <c r="M55" s="422">
        <f t="shared" si="7"/>
        <v>657.4468871324334</v>
      </c>
      <c r="N55" s="412">
        <f t="shared" si="11"/>
        <v>-262.08</v>
      </c>
      <c r="O55" s="452">
        <v>100</v>
      </c>
      <c r="P55" s="412">
        <f>(M55+O55)*N55</f>
        <v>-198511.68017966812</v>
      </c>
      <c r="Q55" s="419">
        <f t="shared" si="15"/>
        <v>-0.12638211895624579</v>
      </c>
      <c r="R55" s="433">
        <f t="shared" si="5"/>
        <v>757.4468871324334</v>
      </c>
      <c r="S55" s="435">
        <f t="shared" si="6"/>
        <v>2073.711076886862</v>
      </c>
      <c r="T55" s="716"/>
      <c r="U55" s="179"/>
      <c r="V55" s="179"/>
      <c r="W55" s="179"/>
    </row>
    <row r="56" spans="1:23">
      <c r="A56" s="411">
        <v>53</v>
      </c>
      <c r="B56" s="695">
        <v>1154003</v>
      </c>
      <c r="C56" s="412">
        <v>0</v>
      </c>
      <c r="D56" s="698">
        <v>1271854</v>
      </c>
      <c r="E56" s="708"/>
      <c r="F56" s="707"/>
      <c r="G56" s="452"/>
      <c r="H56" s="468">
        <f>F56+G56</f>
        <v>0</v>
      </c>
      <c r="I56" s="694">
        <v>-128192</v>
      </c>
      <c r="J56" s="419">
        <f t="shared" si="2"/>
        <v>-0.10079144304299079</v>
      </c>
      <c r="K56" s="707">
        <v>0</v>
      </c>
      <c r="L56" s="434">
        <f t="shared" si="3"/>
        <v>0</v>
      </c>
      <c r="M56" s="710"/>
      <c r="N56" s="707"/>
      <c r="O56" s="711"/>
      <c r="P56" s="707"/>
      <c r="Q56" s="712"/>
      <c r="R56" s="713"/>
      <c r="S56" s="714"/>
      <c r="T56" s="716"/>
      <c r="U56" s="179"/>
      <c r="V56" s="179"/>
      <c r="W56" s="179"/>
    </row>
    <row r="57" spans="1:23" s="474" customFormat="1" ht="20.25" customHeight="1">
      <c r="A57" s="471" t="s">
        <v>295</v>
      </c>
      <c r="B57" s="469">
        <f>SUM(B3:B56)</f>
        <v>82854316</v>
      </c>
      <c r="C57" s="469">
        <f>SUM(C3:C56)</f>
        <v>84136394</v>
      </c>
      <c r="D57" s="469">
        <f>SUM(D3:D56)</f>
        <v>79003022</v>
      </c>
      <c r="E57" s="469"/>
      <c r="F57" s="469">
        <f>SUM(F3:F55)</f>
        <v>83910000</v>
      </c>
      <c r="G57" s="717">
        <f>SUM(G3:G56)+(F57-C57)</f>
        <v>985332</v>
      </c>
      <c r="H57" s="469">
        <f>SUM(H3:H55)</f>
        <v>85121726</v>
      </c>
      <c r="I57" s="472">
        <f>SUM(I3:I55)</f>
        <v>-9195513</v>
      </c>
      <c r="J57" s="473">
        <f>I57/D57</f>
        <v>-0.11639444627827021</v>
      </c>
      <c r="K57" s="472">
        <f>SUM(K3:K56)</f>
        <v>-9257574</v>
      </c>
      <c r="L57" s="572">
        <f>K57/C57</f>
        <v>-0.11003055348438157</v>
      </c>
      <c r="M57" s="473"/>
      <c r="N57" s="469"/>
      <c r="O57" s="715">
        <f>SUM(O3:O55)</f>
        <v>920</v>
      </c>
      <c r="P57" s="469">
        <f>SUM(P3:P55)</f>
        <v>-9253240.5509434082</v>
      </c>
      <c r="Q57" s="572">
        <f t="shared" si="15"/>
        <v>-0.10870597890535499</v>
      </c>
      <c r="R57" s="473"/>
      <c r="U57" s="475"/>
    </row>
  </sheetData>
  <sheetProtection sheet="1" objects="1" scenarios="1"/>
  <mergeCells count="4">
    <mergeCell ref="K2:L2"/>
    <mergeCell ref="I2:J2"/>
    <mergeCell ref="P2:S2"/>
    <mergeCell ref="A1:S1"/>
  </mergeCells>
  <dataValidations count="1">
    <dataValidation type="decimal" allowBlank="1" showInputMessage="1" showErrorMessage="1" promptTitle="Snittlønn (KPAT)" prompt="Snittlønnen må være et negativt tall, så du må legge inn med minustegn foran tallet." sqref="N3">
      <formula1>-1000</formula1>
      <formula2>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86" r:id="rId4" name="Button 34">
              <controlPr defaultSize="0" print="0" autoFill="0" autoPict="0" macro="[0]!getBudgetdata">
                <anchor moveWithCells="1" sizeWithCells="1">
                  <from>
                    <xdr:col>5</xdr:col>
                    <xdr:colOff>85725</xdr:colOff>
                    <xdr:row>0</xdr:row>
                    <xdr:rowOff>85725</xdr:rowOff>
                  </from>
                  <to>
                    <xdr:col>7</xdr:col>
                    <xdr:colOff>457200</xdr:colOff>
                    <xdr:row>0</xdr:row>
                    <xdr:rowOff>371475</xdr:rowOff>
                  </to>
                </anchor>
              </controlPr>
            </control>
          </mc:Choice>
        </mc:AlternateContent>
        <mc:AlternateContent xmlns:mc="http://schemas.openxmlformats.org/markup-compatibility/2006">
          <mc:Choice Requires="x14">
            <control shapeId="49187" r:id="rId5" name="Button 35">
              <controlPr defaultSize="0" print="0" autoFill="0" autoPict="0" macro="[0]!KontrollerBeregning">
                <anchor moveWithCells="1" sizeWithCells="1">
                  <from>
                    <xdr:col>7</xdr:col>
                    <xdr:colOff>561975</xdr:colOff>
                    <xdr:row>0</xdr:row>
                    <xdr:rowOff>85725</xdr:rowOff>
                  </from>
                  <to>
                    <xdr:col>10</xdr:col>
                    <xdr:colOff>495300</xdr:colOff>
                    <xdr:row>0</xdr:row>
                    <xdr:rowOff>371475</xdr:rowOff>
                  </to>
                </anchor>
              </controlPr>
            </control>
          </mc:Choice>
        </mc:AlternateContent>
        <mc:AlternateContent xmlns:mc="http://schemas.openxmlformats.org/markup-compatibility/2006">
          <mc:Choice Requires="x14">
            <control shapeId="49188" r:id="rId6" name="Button 36">
              <controlPr defaultSize="0" print="0" autoFill="0" autoPict="0" macro="[0]!SubmitBudget">
                <anchor moveWithCells="1" sizeWithCells="1">
                  <from>
                    <xdr:col>11</xdr:col>
                    <xdr:colOff>95250</xdr:colOff>
                    <xdr:row>0</xdr:row>
                    <xdr:rowOff>104775</xdr:rowOff>
                  </from>
                  <to>
                    <xdr:col>14</xdr:col>
                    <xdr:colOff>476250</xdr:colOff>
                    <xdr:row>0</xdr:row>
                    <xdr:rowOff>390525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A44A"/>
  </sheetPr>
  <dimension ref="C3:G12"/>
  <sheetViews>
    <sheetView showGridLines="0" showRowColHeaders="0" workbookViewId="0">
      <selection activeCell="E15" sqref="E15"/>
    </sheetView>
  </sheetViews>
  <sheetFormatPr baseColWidth="10" defaultColWidth="9.140625" defaultRowHeight="15"/>
  <sheetData>
    <row r="3" spans="3:7" ht="15" customHeight="1">
      <c r="C3" s="946" t="s">
        <v>300</v>
      </c>
      <c r="D3" s="946"/>
      <c r="E3" s="946"/>
      <c r="F3" s="946"/>
      <c r="G3" s="946"/>
    </row>
    <row r="4" spans="3:7" ht="15" customHeight="1">
      <c r="C4" s="946"/>
      <c r="D4" s="946"/>
      <c r="E4" s="946"/>
      <c r="F4" s="946"/>
      <c r="G4" s="946"/>
    </row>
    <row r="5" spans="3:7" ht="15" customHeight="1">
      <c r="C5" s="946"/>
      <c r="D5" s="946"/>
      <c r="E5" s="946"/>
      <c r="F5" s="946"/>
      <c r="G5" s="946"/>
    </row>
    <row r="6" spans="3:7" ht="15" customHeight="1">
      <c r="C6" s="946"/>
      <c r="D6" s="946"/>
      <c r="E6" s="946"/>
      <c r="F6" s="946"/>
      <c r="G6" s="946"/>
    </row>
    <row r="7" spans="3:7">
      <c r="C7" s="946"/>
      <c r="D7" s="946"/>
      <c r="E7" s="946"/>
      <c r="F7" s="946"/>
      <c r="G7" s="946"/>
    </row>
    <row r="8" spans="3:7">
      <c r="C8" s="946"/>
      <c r="D8" s="946"/>
      <c r="E8" s="946"/>
      <c r="F8" s="946"/>
      <c r="G8" s="946"/>
    </row>
    <row r="9" spans="3:7">
      <c r="C9" s="946"/>
      <c r="D9" s="946"/>
      <c r="E9" s="946"/>
      <c r="F9" s="946"/>
      <c r="G9" s="946"/>
    </row>
    <row r="10" spans="3:7">
      <c r="C10" s="946"/>
      <c r="D10" s="946"/>
      <c r="E10" s="946"/>
      <c r="F10" s="946"/>
      <c r="G10" s="946"/>
    </row>
    <row r="11" spans="3:7">
      <c r="C11" s="946"/>
      <c r="D11" s="946"/>
      <c r="E11" s="946"/>
      <c r="F11" s="946"/>
      <c r="G11" s="946"/>
    </row>
    <row r="12" spans="3:7" ht="23.25">
      <c r="C12" s="945" t="s">
        <v>299</v>
      </c>
      <c r="D12" s="945"/>
      <c r="E12" s="945"/>
      <c r="F12" s="945"/>
      <c r="G12" s="945"/>
    </row>
  </sheetData>
  <sheetProtection sheet="1" objects="1" scenarios="1"/>
  <mergeCells count="2">
    <mergeCell ref="C12:G12"/>
    <mergeCell ref="C3:G11"/>
  </mergeCells>
  <hyperlinks>
    <hyperlink ref="C12" r:id="rId1"/>
  </hyperlinks>
  <pageMargins left="0.7" right="0.7" top="0.75" bottom="0.75" header="0.3" footer="0.3"/>
  <pageSetup paperSize="9" orientation="portrait" r:id="rId2"/>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26"/>
  <sheetViews>
    <sheetView workbookViewId="0">
      <selection activeCell="A2" sqref="A2:XFD26"/>
    </sheetView>
  </sheetViews>
  <sheetFormatPr baseColWidth="10" defaultColWidth="9.140625" defaultRowHeight="15"/>
  <sheetData>
    <row r="1" spans="1:9">
      <c r="A1" s="567" t="s">
        <v>332</v>
      </c>
      <c r="B1" s="567" t="s">
        <v>333</v>
      </c>
      <c r="C1" s="567" t="s">
        <v>0</v>
      </c>
      <c r="D1" s="567" t="s">
        <v>334</v>
      </c>
      <c r="E1" s="567" t="s">
        <v>335</v>
      </c>
      <c r="F1" s="567" t="s">
        <v>336</v>
      </c>
      <c r="G1" s="567" t="s">
        <v>337</v>
      </c>
      <c r="H1" s="567" t="s">
        <v>338</v>
      </c>
      <c r="I1" s="567" t="s">
        <v>339</v>
      </c>
    </row>
    <row r="2" spans="1:9">
      <c r="A2" s="568" t="s">
        <v>349</v>
      </c>
      <c r="B2" s="569">
        <v>2013</v>
      </c>
      <c r="C2" s="569">
        <v>1</v>
      </c>
      <c r="D2" s="571">
        <v>260029</v>
      </c>
      <c r="E2" s="571">
        <v>1170</v>
      </c>
      <c r="F2" s="571">
        <v>94</v>
      </c>
      <c r="G2" s="570"/>
      <c r="H2" s="569" t="s">
        <v>341</v>
      </c>
      <c r="I2" s="569" t="s">
        <v>341</v>
      </c>
    </row>
    <row r="3" spans="1:9">
      <c r="A3" s="568" t="s">
        <v>350</v>
      </c>
      <c r="B3" s="569">
        <v>2013</v>
      </c>
      <c r="C3" s="569">
        <v>2</v>
      </c>
      <c r="D3" s="571">
        <v>297287</v>
      </c>
      <c r="E3" s="571">
        <v>1283</v>
      </c>
      <c r="F3" s="571">
        <v>58</v>
      </c>
      <c r="G3" s="570"/>
      <c r="H3" s="569" t="s">
        <v>341</v>
      </c>
      <c r="I3" s="569" t="s">
        <v>341</v>
      </c>
    </row>
    <row r="4" spans="1:9">
      <c r="A4" s="568" t="s">
        <v>351</v>
      </c>
      <c r="B4" s="569">
        <v>2013</v>
      </c>
      <c r="C4" s="569">
        <v>3</v>
      </c>
      <c r="D4" s="571">
        <v>297612</v>
      </c>
      <c r="E4" s="571">
        <v>1297</v>
      </c>
      <c r="F4" s="571">
        <v>106</v>
      </c>
      <c r="G4" s="570"/>
      <c r="H4" s="569" t="s">
        <v>341</v>
      </c>
      <c r="I4" s="569" t="s">
        <v>341</v>
      </c>
    </row>
    <row r="5" spans="1:9">
      <c r="A5" s="568" t="s">
        <v>352</v>
      </c>
      <c r="B5" s="569">
        <v>2013</v>
      </c>
      <c r="C5" s="569">
        <v>4</v>
      </c>
      <c r="D5" s="571">
        <v>278247</v>
      </c>
      <c r="E5" s="571">
        <v>1223</v>
      </c>
      <c r="F5" s="571">
        <v>50</v>
      </c>
      <c r="G5" s="570"/>
      <c r="H5" s="569" t="s">
        <v>341</v>
      </c>
      <c r="I5" s="569" t="s">
        <v>341</v>
      </c>
    </row>
    <row r="6" spans="1:9">
      <c r="A6" s="568" t="s">
        <v>353</v>
      </c>
      <c r="B6" s="569">
        <v>2013</v>
      </c>
      <c r="C6" s="569">
        <v>5</v>
      </c>
      <c r="D6" s="571">
        <v>279194</v>
      </c>
      <c r="E6" s="571">
        <v>1236</v>
      </c>
      <c r="F6" s="571">
        <v>0</v>
      </c>
      <c r="G6" s="570"/>
      <c r="H6" s="569" t="s">
        <v>341</v>
      </c>
      <c r="I6" s="569" t="s">
        <v>341</v>
      </c>
    </row>
    <row r="7" spans="1:9">
      <c r="A7" s="568" t="s">
        <v>354</v>
      </c>
      <c r="B7" s="569">
        <v>2013</v>
      </c>
      <c r="C7" s="569">
        <v>6</v>
      </c>
      <c r="D7" s="571">
        <v>286155</v>
      </c>
      <c r="E7" s="571">
        <v>1259</v>
      </c>
      <c r="F7" s="571">
        <v>29</v>
      </c>
      <c r="G7" s="570"/>
      <c r="H7" s="569" t="s">
        <v>341</v>
      </c>
      <c r="I7" s="569" t="s">
        <v>341</v>
      </c>
    </row>
    <row r="8" spans="1:9">
      <c r="A8" s="568" t="s">
        <v>355</v>
      </c>
      <c r="B8" s="569">
        <v>2013</v>
      </c>
      <c r="C8" s="569">
        <v>7</v>
      </c>
      <c r="D8" s="571">
        <v>282005</v>
      </c>
      <c r="E8" s="571">
        <v>1239</v>
      </c>
      <c r="F8" s="571">
        <v>75</v>
      </c>
      <c r="G8" s="570"/>
      <c r="H8" s="569" t="s">
        <v>341</v>
      </c>
      <c r="I8" s="569" t="s">
        <v>341</v>
      </c>
    </row>
    <row r="9" spans="1:9">
      <c r="A9" s="568" t="s">
        <v>356</v>
      </c>
      <c r="B9" s="569">
        <v>2013</v>
      </c>
      <c r="C9" s="569">
        <v>8</v>
      </c>
      <c r="D9" s="571">
        <v>286421</v>
      </c>
      <c r="E9" s="571">
        <v>1262</v>
      </c>
      <c r="F9" s="571">
        <v>29</v>
      </c>
      <c r="G9" s="570"/>
      <c r="H9" s="569" t="s">
        <v>341</v>
      </c>
      <c r="I9" s="569" t="s">
        <v>341</v>
      </c>
    </row>
    <row r="10" spans="1:9">
      <c r="A10" s="568" t="s">
        <v>357</v>
      </c>
      <c r="B10" s="569">
        <v>2013</v>
      </c>
      <c r="C10" s="569">
        <v>9</v>
      </c>
      <c r="D10" s="571">
        <v>282085</v>
      </c>
      <c r="E10" s="571">
        <v>1244</v>
      </c>
      <c r="F10" s="571">
        <v>36</v>
      </c>
      <c r="G10" s="570"/>
      <c r="H10" s="569" t="s">
        <v>341</v>
      </c>
      <c r="I10" s="569" t="s">
        <v>341</v>
      </c>
    </row>
    <row r="11" spans="1:9">
      <c r="A11" s="568" t="s">
        <v>358</v>
      </c>
      <c r="B11" s="569">
        <v>2013</v>
      </c>
      <c r="C11" s="569">
        <v>10</v>
      </c>
      <c r="D11" s="571">
        <v>290661</v>
      </c>
      <c r="E11" s="571">
        <v>1262</v>
      </c>
      <c r="F11" s="571">
        <v>23</v>
      </c>
      <c r="G11" s="570"/>
      <c r="H11" s="569" t="s">
        <v>341</v>
      </c>
      <c r="I11" s="569" t="s">
        <v>341</v>
      </c>
    </row>
    <row r="12" spans="1:9">
      <c r="A12" s="568" t="s">
        <v>359</v>
      </c>
      <c r="B12" s="569">
        <v>2013</v>
      </c>
      <c r="C12" s="569">
        <v>11</v>
      </c>
      <c r="D12" s="571">
        <v>294419</v>
      </c>
      <c r="E12" s="571">
        <v>1293</v>
      </c>
      <c r="F12" s="571">
        <v>96</v>
      </c>
      <c r="G12" s="570"/>
      <c r="H12" s="569" t="s">
        <v>341</v>
      </c>
      <c r="I12" s="569" t="s">
        <v>341</v>
      </c>
    </row>
    <row r="13" spans="1:9">
      <c r="A13" s="568" t="s">
        <v>360</v>
      </c>
      <c r="B13" s="569">
        <v>2013</v>
      </c>
      <c r="C13" s="569">
        <v>12</v>
      </c>
      <c r="D13" s="571">
        <v>307768</v>
      </c>
      <c r="E13" s="571">
        <v>1307</v>
      </c>
      <c r="F13" s="571">
        <v>52</v>
      </c>
      <c r="G13" s="570"/>
      <c r="H13" s="569" t="s">
        <v>341</v>
      </c>
      <c r="I13" s="569" t="s">
        <v>341</v>
      </c>
    </row>
    <row r="14" spans="1:9">
      <c r="A14" s="568" t="s">
        <v>361</v>
      </c>
      <c r="B14" s="569">
        <v>2013</v>
      </c>
      <c r="C14" s="569">
        <v>13</v>
      </c>
      <c r="D14" s="571">
        <v>356317</v>
      </c>
      <c r="E14" s="571">
        <v>1433</v>
      </c>
      <c r="F14" s="571">
        <v>45</v>
      </c>
      <c r="G14" s="570"/>
      <c r="H14" s="569" t="s">
        <v>341</v>
      </c>
      <c r="I14" s="569" t="s">
        <v>341</v>
      </c>
    </row>
    <row r="15" spans="1:9">
      <c r="A15" s="568" t="s">
        <v>362</v>
      </c>
      <c r="B15" s="569">
        <v>2013</v>
      </c>
      <c r="C15" s="569">
        <v>14</v>
      </c>
      <c r="D15" s="571">
        <v>303023</v>
      </c>
      <c r="E15" s="571">
        <v>1297</v>
      </c>
      <c r="F15" s="571">
        <v>65</v>
      </c>
      <c r="G15" s="570"/>
      <c r="H15" s="569" t="s">
        <v>341</v>
      </c>
      <c r="I15" s="569" t="s">
        <v>341</v>
      </c>
    </row>
    <row r="16" spans="1:9">
      <c r="A16" s="568" t="s">
        <v>363</v>
      </c>
      <c r="B16" s="569">
        <v>2013</v>
      </c>
      <c r="C16" s="569">
        <v>15</v>
      </c>
      <c r="D16" s="571">
        <v>290130</v>
      </c>
      <c r="E16" s="571">
        <v>1235</v>
      </c>
      <c r="F16" s="571">
        <v>24</v>
      </c>
      <c r="G16" s="570"/>
      <c r="H16" s="569" t="s">
        <v>341</v>
      </c>
      <c r="I16" s="569" t="s">
        <v>341</v>
      </c>
    </row>
    <row r="17" spans="1:9">
      <c r="A17" s="568" t="s">
        <v>364</v>
      </c>
      <c r="B17" s="569">
        <v>2013</v>
      </c>
      <c r="C17" s="569">
        <v>16</v>
      </c>
      <c r="D17" s="571">
        <v>282855</v>
      </c>
      <c r="E17" s="571">
        <v>1216</v>
      </c>
      <c r="F17" s="571">
        <v>0</v>
      </c>
      <c r="G17" s="570"/>
      <c r="H17" s="569" t="s">
        <v>341</v>
      </c>
      <c r="I17" s="569" t="s">
        <v>341</v>
      </c>
    </row>
    <row r="18" spans="1:9">
      <c r="A18" s="568" t="s">
        <v>365</v>
      </c>
      <c r="B18" s="569">
        <v>2013</v>
      </c>
      <c r="C18" s="569">
        <v>17</v>
      </c>
      <c r="D18" s="571">
        <v>289788</v>
      </c>
      <c r="E18" s="571">
        <v>1229</v>
      </c>
      <c r="F18" s="571">
        <v>0</v>
      </c>
      <c r="G18" s="570"/>
      <c r="H18" s="569" t="s">
        <v>341</v>
      </c>
      <c r="I18" s="569" t="s">
        <v>341</v>
      </c>
    </row>
    <row r="19" spans="1:9">
      <c r="A19" s="568" t="s">
        <v>340</v>
      </c>
      <c r="B19" s="569">
        <v>2013</v>
      </c>
      <c r="C19" s="569">
        <v>18</v>
      </c>
      <c r="D19" s="570">
        <v>357433</v>
      </c>
      <c r="E19" s="570">
        <v>1431</v>
      </c>
      <c r="F19" s="570">
        <v>8</v>
      </c>
      <c r="G19" s="570"/>
      <c r="H19" s="569" t="s">
        <v>341</v>
      </c>
      <c r="I19" s="569" t="s">
        <v>341</v>
      </c>
    </row>
    <row r="20" spans="1:9">
      <c r="A20" s="568" t="s">
        <v>342</v>
      </c>
      <c r="B20" s="569">
        <v>2013</v>
      </c>
      <c r="C20" s="569">
        <v>19</v>
      </c>
      <c r="D20" s="570">
        <v>297488</v>
      </c>
      <c r="E20" s="570">
        <v>1257</v>
      </c>
      <c r="F20" s="570">
        <v>45</v>
      </c>
      <c r="G20" s="570"/>
      <c r="H20" s="569" t="s">
        <v>341</v>
      </c>
      <c r="I20" s="569" t="s">
        <v>341</v>
      </c>
    </row>
    <row r="21" spans="1:9">
      <c r="A21" s="568" t="s">
        <v>343</v>
      </c>
      <c r="B21" s="569">
        <v>2013</v>
      </c>
      <c r="C21" s="569">
        <v>20</v>
      </c>
      <c r="D21" s="570">
        <v>337123</v>
      </c>
      <c r="E21" s="570">
        <v>1432</v>
      </c>
      <c r="F21" s="570">
        <v>46</v>
      </c>
      <c r="G21" s="570"/>
      <c r="H21" s="569" t="s">
        <v>341</v>
      </c>
      <c r="I21" s="569" t="s">
        <v>341</v>
      </c>
    </row>
    <row r="22" spans="1:9">
      <c r="A22" s="568" t="s">
        <v>344</v>
      </c>
      <c r="B22" s="569">
        <v>2013</v>
      </c>
      <c r="C22" s="569">
        <v>21</v>
      </c>
      <c r="D22" s="570">
        <v>246413</v>
      </c>
      <c r="E22" s="570">
        <v>1076</v>
      </c>
      <c r="F22" s="570">
        <v>41</v>
      </c>
      <c r="G22" s="570"/>
      <c r="H22" s="569" t="s">
        <v>341</v>
      </c>
      <c r="I22" s="569" t="s">
        <v>341</v>
      </c>
    </row>
    <row r="23" spans="1:9">
      <c r="A23" s="568" t="s">
        <v>345</v>
      </c>
      <c r="B23" s="569">
        <v>2013</v>
      </c>
      <c r="C23" s="569">
        <v>22</v>
      </c>
      <c r="D23" s="570">
        <v>278817</v>
      </c>
      <c r="E23" s="570">
        <v>1216</v>
      </c>
      <c r="F23" s="570">
        <v>87</v>
      </c>
      <c r="G23" s="570"/>
      <c r="H23" s="569" t="s">
        <v>341</v>
      </c>
      <c r="I23" s="569" t="s">
        <v>341</v>
      </c>
    </row>
    <row r="24" spans="1:9">
      <c r="A24" s="568" t="s">
        <v>346</v>
      </c>
      <c r="B24" s="569">
        <v>2013</v>
      </c>
      <c r="C24" s="569">
        <v>23</v>
      </c>
      <c r="D24" s="570">
        <v>266243</v>
      </c>
      <c r="E24" s="570">
        <v>1137</v>
      </c>
      <c r="F24" s="570">
        <v>38</v>
      </c>
      <c r="G24" s="570"/>
      <c r="H24" s="569" t="s">
        <v>341</v>
      </c>
      <c r="I24" s="569" t="s">
        <v>341</v>
      </c>
    </row>
    <row r="25" spans="1:9">
      <c r="A25" s="568" t="s">
        <v>347</v>
      </c>
      <c r="B25" s="569">
        <v>2013</v>
      </c>
      <c r="C25" s="569">
        <v>24</v>
      </c>
      <c r="D25" s="570">
        <v>275966</v>
      </c>
      <c r="E25" s="570">
        <v>1199</v>
      </c>
      <c r="F25" s="570">
        <v>34</v>
      </c>
      <c r="G25" s="570"/>
      <c r="H25" s="569" t="s">
        <v>341</v>
      </c>
      <c r="I25" s="569" t="s">
        <v>341</v>
      </c>
    </row>
    <row r="26" spans="1:9">
      <c r="A26" s="568" t="s">
        <v>348</v>
      </c>
      <c r="B26" s="569">
        <v>2013</v>
      </c>
      <c r="C26" s="569">
        <v>25</v>
      </c>
      <c r="D26" s="570">
        <v>234422</v>
      </c>
      <c r="E26" s="570">
        <v>1043</v>
      </c>
      <c r="F26" s="570">
        <v>20</v>
      </c>
      <c r="G26" s="570"/>
      <c r="H26" s="569" t="s">
        <v>341</v>
      </c>
      <c r="I26" s="569" t="s">
        <v>341</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Regneark</vt:lpstr>
      </vt:variant>
      <vt:variant>
        <vt:i4>23</vt:i4>
      </vt:variant>
      <vt:variant>
        <vt:lpstr>Diagrammer</vt:lpstr>
      </vt:variant>
      <vt:variant>
        <vt:i4>2</vt:i4>
      </vt:variant>
      <vt:variant>
        <vt:lpstr>Navngitte områder</vt:lpstr>
      </vt:variant>
      <vt:variant>
        <vt:i4>16</vt:i4>
      </vt:variant>
    </vt:vector>
  </HeadingPairs>
  <TitlesOfParts>
    <vt:vector size="41" baseType="lpstr">
      <vt:lpstr>sysX</vt:lpstr>
      <vt:lpstr>Home</vt:lpstr>
      <vt:lpstr>ActionLog</vt:lpstr>
      <vt:lpstr>Min Butikk</vt:lpstr>
      <vt:lpstr>Mitt Salg</vt:lpstr>
      <vt:lpstr>Mitt Svinn</vt:lpstr>
      <vt:lpstr>Svinn pr VO</vt:lpstr>
      <vt:lpstr>Store Trend</vt:lpstr>
      <vt:lpstr>Simulator</vt:lpstr>
      <vt:lpstr>Ark1</vt:lpstr>
      <vt:lpstr>Sykefravær</vt:lpstr>
      <vt:lpstr>Mitt Distrikt</vt:lpstr>
      <vt:lpstr>Mitt Distrikt YTD</vt:lpstr>
      <vt:lpstr>RegionTotal</vt:lpstr>
      <vt:lpstr>Min Region Ukesvisning</vt:lpstr>
      <vt:lpstr>Benchmarking Super</vt:lpstr>
      <vt:lpstr>Benchmarking Super YTD</vt:lpstr>
      <vt:lpstr>Benchmarking Nær</vt:lpstr>
      <vt:lpstr>Benchmarking Nær YTD</vt:lpstr>
      <vt:lpstr>BenchHist Min Butikk</vt:lpstr>
      <vt:lpstr>BudPer</vt:lpstr>
      <vt:lpstr>HELP ME</vt:lpstr>
      <vt:lpstr>Sheet1</vt:lpstr>
      <vt:lpstr>Graf Oms</vt:lpstr>
      <vt:lpstr>Min Margin</vt:lpstr>
      <vt:lpstr>'Mitt Salg'!dbr</vt:lpstr>
      <vt:lpstr>dbr</vt:lpstr>
      <vt:lpstr>'Benchmarking Nær'!Utskriftsområde</vt:lpstr>
      <vt:lpstr>'Benchmarking Nær YTD'!Utskriftsområde</vt:lpstr>
      <vt:lpstr>'Benchmarking Super'!Utskriftsområde</vt:lpstr>
      <vt:lpstr>'Benchmarking Super YTD'!Utskriftsområde</vt:lpstr>
      <vt:lpstr>Home!Utskriftsområde</vt:lpstr>
      <vt:lpstr>'Min Butikk'!Utskriftsområde</vt:lpstr>
      <vt:lpstr>'Min Region Ukesvisning'!Utskriftsområde</vt:lpstr>
      <vt:lpstr>'Mitt Distrikt'!Utskriftsområde</vt:lpstr>
      <vt:lpstr>'Mitt Distrikt YTD'!Utskriftsområde</vt:lpstr>
      <vt:lpstr>'Mitt Salg'!Utskriftsområde</vt:lpstr>
      <vt:lpstr>RegionTotal!Utskriftsområde</vt:lpstr>
      <vt:lpstr>Simulator!Utskriftsområde</vt:lpstr>
      <vt:lpstr>'Store Trend'!Utskriftsområde</vt:lpstr>
      <vt:lpstr>Sykefravær!Utskriftsområde</vt:lpstr>
    </vt:vector>
  </TitlesOfParts>
  <Company>ICA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Eigil Rognan</dc:creator>
  <cp:lastModifiedBy>Kirkhus, Per Magne</cp:lastModifiedBy>
  <cp:lastPrinted>2016-10-18T05:27:44Z</cp:lastPrinted>
  <dcterms:created xsi:type="dcterms:W3CDTF">2012-04-22T12:06:46Z</dcterms:created>
  <dcterms:modified xsi:type="dcterms:W3CDTF">2019-01-06T22:52:44Z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95e7ebc-7083-4ef0-929e-21cd5eff7fc4_Enabled">
    <vt:lpwstr>True</vt:lpwstr>
  </property>
  <property fmtid="{D5CDD505-2E9C-101B-9397-08002B2CF9AE}" pid="3" name="MSIP_Label_095e7ebc-7083-4ef0-929e-21cd5eff7fc4_SiteId">
    <vt:lpwstr>ad12c024-e320-4b19-aa0b-b0c36c136e70</vt:lpwstr>
  </property>
  <property fmtid="{D5CDD505-2E9C-101B-9397-08002B2CF9AE}" pid="4" name="MSIP_Label_095e7ebc-7083-4ef0-929e-21cd5eff7fc4_Owner">
    <vt:lpwstr>per.magne.kirkhus@coop.no</vt:lpwstr>
  </property>
  <property fmtid="{D5CDD505-2E9C-101B-9397-08002B2CF9AE}" pid="5" name="MSIP_Label_095e7ebc-7083-4ef0-929e-21cd5eff7fc4_SetDate">
    <vt:lpwstr>2018-10-23T08:19:41.9211450Z</vt:lpwstr>
  </property>
  <property fmtid="{D5CDD505-2E9C-101B-9397-08002B2CF9AE}" pid="6" name="MSIP_Label_095e7ebc-7083-4ef0-929e-21cd5eff7fc4_Name">
    <vt:lpwstr>Open</vt:lpwstr>
  </property>
  <property fmtid="{D5CDD505-2E9C-101B-9397-08002B2CF9AE}" pid="7" name="MSIP_Label_095e7ebc-7083-4ef0-929e-21cd5eff7fc4_Application">
    <vt:lpwstr>Microsoft Azure Information Protection</vt:lpwstr>
  </property>
  <property fmtid="{D5CDD505-2E9C-101B-9397-08002B2CF9AE}" pid="8" name="MSIP_Label_095e7ebc-7083-4ef0-929e-21cd5eff7fc4_Extended_MSFT_Method">
    <vt:lpwstr>Automatic</vt:lpwstr>
  </property>
  <property fmtid="{D5CDD505-2E9C-101B-9397-08002B2CF9AE}" pid="9" name="Sensitivity">
    <vt:lpwstr>Open</vt:lpwstr>
  </property>
</Properties>
</file>