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20BC7D47-5360-4EDB-B0A4-D5F9E6314F78}" xr6:coauthVersionLast="41" xr6:coauthVersionMax="41" xr10:uidLastSave="{00000000-0000-0000-0000-000000000000}"/>
  <bookViews>
    <workbookView xWindow="-120" yWindow="-120" windowWidth="20730" windowHeight="11040" activeTab="1" xr2:uid="{8C91DA6D-E5A1-4120-A228-5D2A48CFAB22}"/>
  </bookViews>
  <sheets>
    <sheet name="Analysis 1" sheetId="7" r:id="rId1"/>
    <sheet name="Dashboard 1"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FactInternetSales" sheetId="2" state="hidden" r:id="rId9"/>
  </sheets>
  <definedNames>
    <definedName name="looktable">'Analysis 1'!$M$1:$S$5</definedName>
    <definedName name="Slicer_Country">#N/A</definedName>
    <definedName name="Slicer_Month_Name">#N/A</definedName>
    <definedName name="Slicer_Year">#N/A</definedName>
  </definedNames>
  <calcPr calcId="191029"/>
  <pivotCaches>
    <pivotCache cacheId="4558" r:id="rId10"/>
    <pivotCache cacheId="4559" r:id="rId11"/>
    <pivotCache cacheId="4560" r:id="rId12"/>
    <pivotCache cacheId="4561" r:id="rId13"/>
    <pivotCache cacheId="4562" r:id="rId14"/>
    <pivotCache cacheId="4563" r:id="rId15"/>
    <pivotCache cacheId="4564" r:id="rId16"/>
    <pivotCache cacheId="4565" r:id="rId17"/>
  </pivotCaches>
  <extLst>
    <ext xmlns:x14="http://schemas.microsoft.com/office/spreadsheetml/2009/9/main" uri="{876F7934-8845-4945-9796-88D515C7AA90}">
      <x14:pivotCaches>
        <pivotCache cacheId="4566" r:id="rId18"/>
      </x14:pivotCaches>
    </ext>
    <ext xmlns:x14="http://schemas.microsoft.com/office/spreadsheetml/2009/9/main" uri="{BBE1A952-AA13-448e-AADC-164F8A28A991}">
      <x14:slicerCaches>
        <x14:slicerCache r:id="rId19"/>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SalesTerritoryKey" toTable="DimSalesTerritory" toColumn="SalesTerritoryKey"/>
          <x15:modelRelationship fromTable="FactInternetSales" fromColumn="ProductKey" toTable="DimProduct" toColumn="ProductKey"/>
          <x15:modelRelationship fromTable="FactInternetSales" fromColumn="OrderDate" toTable="DimDate" toColumn="Date"/>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Z4" i="12" l="1"/>
  <c r="Z3" i="12"/>
  <c r="N3" i="12"/>
  <c r="O3" i="12"/>
  <c r="N4" i="12"/>
  <c r="O4" i="12"/>
  <c r="N5" i="12"/>
  <c r="O5" i="12"/>
  <c r="N6" i="12"/>
  <c r="O6" i="12"/>
  <c r="N7" i="12"/>
  <c r="O7" i="12"/>
  <c r="N8" i="12"/>
  <c r="O8" i="12"/>
  <c r="N9" i="12"/>
  <c r="O9" i="12"/>
  <c r="O2" i="12"/>
  <c r="N2" i="12"/>
  <c r="E7" i="12"/>
  <c r="F2" i="12"/>
  <c r="G2" i="12" s="1"/>
  <c r="F3" i="12"/>
  <c r="G3" i="12" s="1"/>
  <c r="F1" i="12"/>
  <c r="G1" i="12" s="1"/>
  <c r="Y6" i="12" l="1"/>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<sst xmlns="http://schemas.openxmlformats.org/spreadsheetml/2006/main" count="109" uniqueCount="64">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</sst>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 &quot;0.0,,\ &quot;M&quot;"/>
    <numFmt numFmtId="165" formatCode="0.00,&quot;K&quot;"/>
    <numFmt numFmtId="166" formatCode="0.00%;\-0.00%;0.00%"/>
    <numFmt numFmtId="167" formatCode="0.0%"/>
    <numFmt numFmtId="168" formatCode="\+0.00%;\ \-0.00%;\ 0.00%"/>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3">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cellXfs>
  <cellStyles count="1">
    <cellStyle name="Normal" xfId="0" builtinId="0"/>
  </cellStyles>
  <dxfs count="30">
    <dxf>
      <numFmt numFmtId="164" formatCode="&quot;$ &quot;0.0,,\ &quot;M&quot;"/>
    </dxf>
    <dxf>
      <numFmt numFmtId="13" formatCode="0%"/>
    </dxf>
    <dxf>
      <numFmt numFmtId="14" formatCode="0.00%"/>
    </dxf>
    <dxf>
      <numFmt numFmtId="164" formatCode="&quot;$ &quot;0.0,,\ &quot;M&quot;"/>
    </dxf>
    <dxf>
      <numFmt numFmtId="164" formatCode="&quot;$ &quot;0.0,,\ &quot;M&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29"/>
      <tableStyleElement type="headerRow" dxfId="28"/>
    </tableStyle>
  </tableStyles>
  <colors>
    <mruColors>
      <color rgb="FFFF6600"/>
      <color rgb="FFFFCC00"/>
      <color rgb="FF00B0F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9.xml"/><Relationship Id="rId26" Type="http://schemas.openxmlformats.org/officeDocument/2006/relationships/powerPivotData" Target="model/item.data"/><Relationship Id="rId39" Type="http://schemas.openxmlformats.org/officeDocument/2006/relationships/customXml" Target="../customXml/item12.xml"/><Relationship Id="rId21" Type="http://schemas.microsoft.com/office/2007/relationships/slicerCache" Target="slicerCaches/slicerCache3.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55" Type="http://schemas.openxmlformats.org/officeDocument/2006/relationships/customXml" Target="../customXml/item28.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pivotCacheDefinition" Target="pivotCache/pivotCacheDefinition8.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2" Type="http://schemas.openxmlformats.org/officeDocument/2006/relationships/worksheet" Target="worksheets/sheet2.xml"/><Relationship Id="rId16" Type="http://schemas.openxmlformats.org/officeDocument/2006/relationships/pivotCacheDefinition" Target="pivotCache/pivotCacheDefinition7.xml"/><Relationship Id="rId20" Type="http://schemas.microsoft.com/office/2007/relationships/slicerCache" Target="slicerCaches/slicerCache2.xml"/><Relationship Id="rId29" Type="http://schemas.openxmlformats.org/officeDocument/2006/relationships/customXml" Target="../customXml/item2.xml"/><Relationship Id="rId41" Type="http://schemas.openxmlformats.org/officeDocument/2006/relationships/customXml" Target="../customXml/item14.xml"/><Relationship Id="rId54" Type="http://schemas.openxmlformats.org/officeDocument/2006/relationships/customXml" Target="../customXml/item27.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5" Type="http://schemas.openxmlformats.org/officeDocument/2006/relationships/worksheet" Target="worksheets/sheet5.xml"/><Relationship Id="rId15" Type="http://schemas.openxmlformats.org/officeDocument/2006/relationships/pivotCacheDefinition" Target="pivotCache/pivotCacheDefinition6.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19" Type="http://schemas.microsoft.com/office/2007/relationships/slicerCache" Target="slicerCaches/slicerCache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8" Type="http://schemas.openxmlformats.org/officeDocument/2006/relationships/worksheet" Target="worksheets/sheet8.xml"/><Relationship Id="rId51" Type="http://schemas.openxmlformats.org/officeDocument/2006/relationships/customXml" Target="../customXml/item24.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2007</c:v>
                </c:pt>
                <c:pt idx="1">
                  <c:v>0</c:v>
                </c:pt>
                <c:pt idx="2">
                  <c:v>0</c:v>
                </c:pt>
                <c:pt idx="3">
                  <c:v>0</c:v>
                </c:pt>
              </c:numCache>
            </c:numRef>
          </c:cat>
          <c:val>
            <c:numRef>
              <c:f>'Analysis 1'!$A$17:$A$20</c:f>
              <c:numCache>
                <c:formatCode>General</c:formatCode>
                <c:ptCount val="4"/>
                <c:pt idx="0">
                  <c:v>2007</c:v>
                </c:pt>
                <c:pt idx="1">
                  <c:v>0</c:v>
                </c:pt>
                <c:pt idx="2">
                  <c:v>0</c:v>
                </c:pt>
                <c:pt idx="3">
                  <c:v>0</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2007</c:v>
                </c:pt>
                <c:pt idx="1">
                  <c:v>0</c:v>
                </c:pt>
                <c:pt idx="2">
                  <c:v>0</c:v>
                </c:pt>
                <c:pt idx="3">
                  <c:v>0</c:v>
                </c:pt>
              </c:numCache>
            </c:numRef>
          </c:cat>
          <c:val>
            <c:numRef>
              <c:f>'Analysis 1'!$B$17:$B$20</c:f>
              <c:numCache>
                <c:formatCode>"$ "0.0,,\ "M"</c:formatCode>
                <c:ptCount val="4"/>
                <c:pt idx="0">
                  <c:v>42547110.664200231</c:v>
                </c:pt>
                <c:pt idx="1">
                  <c:v>0</c:v>
                </c:pt>
                <c:pt idx="2">
                  <c:v>0</c:v>
                </c:pt>
                <c:pt idx="3">
                  <c:v>0</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42547110.66</c:v>
                </c:pt>
              </c:strCache>
            </c:strRef>
          </c:tx>
          <c:spPr>
            <a:solidFill>
              <a:srgbClr val="00B0F0"/>
            </a:solidFill>
            <a:ln>
              <a:noFill/>
            </a:ln>
            <a:effectLst/>
          </c:spPr>
          <c:invertIfNegative val="0"/>
          <c:val>
            <c:numRef>
              <c:f>'Analysis 1'!$D$17:$D$20</c:f>
              <c:numCache>
                <c:formatCode>General</c:formatCode>
                <c:ptCount val="4"/>
                <c:pt idx="0">
                  <c:v>42547110.664200231</c:v>
                </c:pt>
                <c:pt idx="1">
                  <c:v>0</c:v>
                </c:pt>
                <c:pt idx="2">
                  <c:v>0</c:v>
                </c:pt>
                <c:pt idx="3">
                  <c:v>0</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10636777.666050058</c:v>
                </c:pt>
                <c:pt idx="1">
                  <c:v>10636777.666050058</c:v>
                </c:pt>
                <c:pt idx="2">
                  <c:v>10636777.666050058</c:v>
                </c:pt>
                <c:pt idx="3">
                  <c:v>10636777.666050058</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1897575.526300001</c:v>
                </c:pt>
                <c:pt idx="1">
                  <c:v>2118816.2383999997</c:v>
                </c:pt>
                <c:pt idx="2">
                  <c:v>2087663.5863999994</c:v>
                </c:pt>
                <c:pt idx="3">
                  <c:v>2216974.4109000009</c:v>
                </c:pt>
                <c:pt idx="4">
                  <c:v>2385932.3568999991</c:v>
                </c:pt>
                <c:pt idx="5">
                  <c:v>2335365.4010999976</c:v>
                </c:pt>
                <c:pt idx="6">
                  <c:v>3781241.7557999999</c:v>
                </c:pt>
                <c:pt idx="7">
                  <c:v>3651438.9383000112</c:v>
                </c:pt>
                <c:pt idx="8">
                  <c:v>4442947.8940999974</c:v>
                </c:pt>
                <c:pt idx="9">
                  <c:v>4817409.9899000134</c:v>
                </c:pt>
                <c:pt idx="10">
                  <c:v>5237857.4058000129</c:v>
                </c:pt>
                <c:pt idx="11">
                  <c:v>7573887.1603000155</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5902518.0922999829</c:v>
                </c:pt>
                <c:pt idx="1">
                  <c:v>5954860.5016000122</c:v>
                </c:pt>
                <c:pt idx="2">
                  <c:v>6061244.2484000046</c:v>
                </c:pt>
                <c:pt idx="3">
                  <c:v>6417223.5029999902</c:v>
                </c:pt>
                <c:pt idx="4">
                  <c:v>6365340.8778000204</c:v>
                </c:pt>
                <c:pt idx="5">
                  <c:v>5983801.3747999882</c:v>
                </c:pt>
                <c:pt idx="6">
                  <c:v>5862122.0662999898</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6061244.2484000046</c:v>
                </c:pt>
                <c:pt idx="3">
                  <c:v>6417223.5029999902</c:v>
                </c:pt>
                <c:pt idx="4">
                  <c:v>6365340.8778000204</c:v>
                </c:pt>
                <c:pt idx="5">
                  <c:v>0</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30782470.505600207</c:v>
                </c:pt>
                <c:pt idx="1">
                  <c:v>11764640.158600049</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$ 102.4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$ 42.5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$ 59.8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41.56%</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255.72K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24.44K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100.0%</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10,636,778</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+100.00%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+100.00%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In2007</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Nov</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Oct</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41.4%</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44.3%</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72.3%</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$ 6.1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$ 6.9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$ 11.9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$ 17.6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14%</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16%</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28%</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41%</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1620371" backgroundQuery="1" createdVersion="6" refreshedVersion="6" minRefreshableVersion="3" recordCount="0" supportSubquery="1" supportAdvancedDrill="1" xr:uid="{141A81ED-5B15-4CFA-9472-EEBC711356E7}">
  <cacheSource type="external" connectionId="8"/>
  <cacheFields count="7">
    <cacheField name="[Measures].[Total Profit]" caption="Total Profit" numFmtId="0" hierarchy="45" level="32767"/>
    <cacheField name="[DimDate].[Day Name].[Day Name]" caption="Day Name" numFmtId="0" hierarchy="11" level="1">
      <sharedItems count="7">
        <s v="Sun"/>
        <s v="Mon"/>
        <s v="Tue"/>
        <s v="Wed"/>
        <s v="Thu"/>
        <s v="Fri"/>
        <s v="Sat"/>
      </sharedItems>
    </cacheField>
    <cacheField name="[DimDate].[Quarter].[Quarter]" caption="Quarter" numFmtId="0" hierarchy="13" level="1">
      <sharedItems count="4">
        <s v="Q-1"/>
        <s v="Q-2"/>
        <s v="Q-3"/>
        <s v="Q-4"/>
      </sharedItems>
    </cacheField>
    <cacheField name="[DimGeography].[Country].[Country]" caption="Country" numFmtId="0" hierarchy="17" level="1">
      <sharedItems containsSemiMixedTypes="0" containsNonDate="0" containsString="0"/>
    </cacheField>
    <cacheField name="[DimDate].[Month Name].[Month Name]" caption="Month Name" numFmtId="0" hierarchy="10" level="1">
      <sharedItems containsSemiMixedTypes="0" containsNonDate="0" containsString="0"/>
    </cacheField>
    <cacheField name="[DimDate].[Year].[Year]" caption="Year" numFmtId="0" hierarchy="8" level="1">
      <sharedItems containsSemiMixedTypes="0" containsNonDate="0" containsString="0"/>
    </cacheField>
    <cacheField name="Dummy0" numFmtId="0" hierarchy="63" level="32767">
      <extLst>
        <ext xmlns:x14="http://schemas.microsoft.com/office/spreadsheetml/2009/9/main" uri="{63CAB8AC-B538-458d-9737-405883B0398D}">
          <x14:cacheField ignore="1"/>
        </ext>
      </extLst>
    </cacheField>
  </cacheFields>
  <cacheHierarchies count="64">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5"/>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4"/>
      </fieldsUsage>
    </cacheHierarchy>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2430556"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45" level="32767"/>
    <cacheField name="[DimDate].[Day Name].[Day Name]" caption="Day Name" numFmtId="0" hierarchy="11" level="1">
      <sharedItems count="7">
        <s v="Sun"/>
        <s v="Mon"/>
        <s v="Tue"/>
        <s v="Wed"/>
        <s v="Thu"/>
        <s v="Fri"/>
        <s v="Sat"/>
      </sharedItems>
    </cacheField>
    <cacheField name="[DimGeography].[Country].[Country]" caption="Country" numFmtId="0" hierarchy="17" level="1">
      <sharedItems containsSemiMixedTypes="0" containsNonDate="0" containsString="0"/>
    </cacheField>
    <cacheField name="[DimDate].[Year].[Year]" caption="Year" numFmtId="0" hierarchy="8"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3125003"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45" level="32767"/>
    <cacheField name="[DimDate].[Month Name].[Month Name]" caption="Month Name" numFmtId="0" hierarchy="10" level="1">
      <sharedItems count="12">
        <s v="Jan"/>
        <s v="Feb"/>
        <s v="Mar"/>
        <s v="Apr"/>
        <s v="May"/>
        <s v="Jun"/>
        <s v="Jul"/>
        <s v="Aug"/>
        <s v="Sep"/>
        <s v="Oct"/>
        <s v="Nov"/>
        <s v="Dec"/>
      </sharedItems>
    </cacheField>
    <cacheField name="[DimGeography].[Country].[Country]" caption="Country" numFmtId="0" hierarchy="17" level="1">
      <sharedItems containsSemiMixedTypes="0" containsNonDate="0" containsString="0"/>
    </cacheField>
    <cacheField name="[DimDate].[Year].[Year]" caption="Year" numFmtId="0" hierarchy="8"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4050927"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43" level="32767"/>
    <cacheField name="[Measures].[Total Revenu]" caption="Total Revenu" numFmtId="0" hierarchy="44" level="32767"/>
    <cacheField name="[Measures].[Total Profit]" caption="Total Profit" numFmtId="0" hierarchy="45" level="32767"/>
    <cacheField name="[DimDate].[Year].[Year]" caption="Year" numFmtId="0" hierarchy="8" level="1">
      <sharedItems containsSemiMixedTypes="0" containsString="0" containsNumber="1" containsInteger="1" minValue="2007" maxValue="2007" count="1">
        <n v="2007"/>
      </sharedItems>
      <extLst>
        <ext xmlns:x15="http://schemas.microsoft.com/office/spreadsheetml/2010/11/main" uri="{4F2E5C28-24EA-4eb8-9CBF-B6C8F9C3D259}">
          <x15:cachedUniqueNames>
            <x15:cachedUniqueName index="0" name="[DimDate].[Year].&amp;[2007]"/>
          </x15:cachedUniqueNames>
        </ext>
      </extLst>
    </cacheField>
    <cacheField name="[DimGeography].[Country].[Country]" caption="Country" numFmtId="0" hierarchy="17"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4976851"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45" level="32767"/>
    <cacheField name="[DimDate].[Day Name].[Day Name]" caption="Day Name" numFmtId="0" hierarchy="11" level="1">
      <sharedItems count="7">
        <s v="Sun"/>
        <s v="Mon"/>
        <s v="Tue"/>
        <s v="Wed"/>
        <s v="Thu"/>
        <s v="Fri"/>
        <s v="Sat"/>
      </sharedItems>
    </cacheField>
    <cacheField name="[DimDate].[Day Type].[Day Type]" caption="Day Type" numFmtId="0" hierarchy="12" level="1">
      <sharedItems count="2">
        <s v="Weekday"/>
        <s v="Weekend"/>
      </sharedItems>
    </cacheField>
    <cacheField name="[DimGeography].[Country].[Country]" caption="Country" numFmtId="0" hierarchy="17" level="1">
      <sharedItems containsSemiMixedTypes="0" containsNonDate="0" containsString="0"/>
    </cacheField>
    <cacheField name="[DimDate].[Year].[Year]" caption="Year" numFmtId="0" hierarchy="8"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5671297"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43" level="32767"/>
    <cacheField name="[Measures].[Total Revenu]" caption="Total Revenu" numFmtId="0" hierarchy="44" level="32767"/>
    <cacheField name="[Measures].[Total Profit]" caption="Total Profit" numFmtId="0" hierarchy="45" level="32767"/>
    <cacheField name="[Measures].[Total COGS]" caption="Total COGS" numFmtId="0" hierarchy="50" level="32767"/>
    <cacheField name="[Measures].[Total Qty]" caption="Total Qty" numFmtId="0" hierarchy="51" level="32767"/>
    <cacheField name="[Measures].[Total Products]" caption="Total Products" numFmtId="0" hierarchy="47" level="32767"/>
    <cacheField name="[Measures].[Sold Products]" caption="Sold Products" numFmtId="0" hierarchy="48" level="32767"/>
    <cacheField name="[Measures].[Unsold Products]" caption="Unsold Products" numFmtId="0" hierarchy="49" level="32767"/>
    <cacheField name="[Measures].[% Profit Margin]" caption="% Profit Margin" numFmtId="0" hierarchy="46" level="32767"/>
    <cacheField name="[DimGeography].[Country].[Country]" caption="Country" numFmtId="0" hierarchy="17" level="1">
      <sharedItems containsSemiMixedTypes="0" containsNonDate="0" containsString="0"/>
    </cacheField>
    <cacheField name="[DimDate].[Year].[Year]" caption="Year" numFmtId="0" hierarchy="8"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6481482" backgroundQuery="1" createdVersion="6" refreshedVersion="6" minRefreshableVersion="3" recordCount="0" supportSubquery="1" supportAdvancedDrill="1" xr:uid="{49960CD0-5969-4D0D-9421-0B35D27204FF}">
  <cacheSource type="external" connectionId="8"/>
  <cacheFields count="8">
    <cacheField name="[Measures].[#Transaction]" caption="#Transaction" numFmtId="0" hierarchy="43" level="32767"/>
    <cacheField name="[Measures].[Total Revenu]" caption="Total Revenu" numFmtId="0" hierarchy="44" level="32767"/>
    <cacheField name="[Measures].[Total Profit]" caption="Total Profit" numFmtId="0" hierarchy="45" level="32767"/>
    <cacheField name="[Measures].[Total COGS]" caption="Total COGS" numFmtId="0" hierarchy="50" level="32767"/>
    <cacheField name="[Measures].[Total Qty]" caption="Total Qty" numFmtId="0" hierarchy="51" level="32767"/>
    <cacheField name="[Measures].[% Profit Margin]" caption="% Profit Margin" numFmtId="0" hierarchy="46" level="32767"/>
    <cacheField name="[DimDate].[Year].[Year]" caption="Year" numFmtId="0" hierarchy="8" level="1">
      <sharedItems containsSemiMixedTypes="0" containsString="0" containsNumber="1" containsInteger="1" minValue="2007" maxValue="2007" count="1">
        <n v="2007"/>
      </sharedItems>
      <extLst>
        <ext xmlns:x15="http://schemas.microsoft.com/office/spreadsheetml/2010/11/main" uri="{4F2E5C28-24EA-4eb8-9CBF-B6C8F9C3D259}">
          <x15:cachedUniqueNames>
            <x15:cachedUniqueName index="0" name="[DimDate].[Year].&amp;[2007]"/>
          </x15:cachedUniqueNames>
        </ext>
      </extLst>
    </cacheField>
    <cacheField name="[DimGeography].[Country].[Country]" caption="Country" numFmtId="0" hierarchy="17"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7"/>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32257175929"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8" level="1">
      <sharedItems containsSemiMixedTypes="0" containsString="0" containsNumber="1" containsInteger="1" minValue="2007" maxValue="2007" count="1">
        <n v="2007"/>
      </sharedItems>
      <extLst>
        <ext xmlns:x15="http://schemas.microsoft.com/office/spreadsheetml/2010/11/main" uri="{4F2E5C28-24EA-4eb8-9CBF-B6C8F9C3D259}">
          <x15:cachedUniqueNames>
            <x15:cachedUniqueName index="0" name="[DimDate].[Year].&amp;[2007]"/>
          </x15:cachedUniqueNames>
        </ext>
      </extLst>
    </cacheField>
    <cacheField name="[DimGeography].[Country].[Country]" caption="Country" numFmtId="0" hierarchy="17" level="1">
      <sharedItems containsSemiMixedTypes="0" containsNonDate="0" containsString="0"/>
    </cacheField>
  </cacheFields>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14.728889004633" backgroundQuery="1" createdVersion="3" refreshedVersion="6" minRefreshableVersion="3" recordCount="0" supportSubquery="1" supportAdvancedDrill="1" xr:uid="{1B5C0024-0762-4B16-B4EC-984B243C854F}">
  <cacheSource type="external" connectionId="8">
    <extLst>
      <ext xmlns:x14="http://schemas.microsoft.com/office/spreadsheetml/2009/9/main" uri="{F057638F-6D5F-4e77-A914-E7F072B9BCA8}">
        <x14:sourceConnection name="ThisWorkbookDataModel"/>
      </ext>
    </extLst>
  </cacheSource>
  <cacheFields count="0"/>
  <cacheHierarchies count="6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8"/>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39"/>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9"/>
        </ext>
      </extLst>
    </cacheHierarchy>
  </cacheHierarchies>
  <kpis count="0"/>
  <extLst>
    <ext xmlns:x14="http://schemas.microsoft.com/office/spreadsheetml/2009/9/main" uri="{725AE2AE-9491-48be-B2B4-4EB974FC3084}">
      <x14:pivotCacheDefinition slicerData="1" pivotCacheId="3989284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4561"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9"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1">
        <item s="1" x="0"/>
      </items>
    </pivotField>
    <pivotField compact="0" allDrilled="1" outline="0" subtotalTop="0" showAll="0" dataSourceSort="1" defaultSubtotal="0" defaultAttributeDrillState="1"/>
  </pivotFields>
  <rowFields count="1">
    <field x="3"/>
  </rowFields>
  <rowItems count="1">
    <i>
      <x/>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13">
      <pivotArea outline="0" collapsedLevelsAreSubtotals="1" fieldPosition="0">
        <references count="1">
          <reference field="4294967294" count="1" selected="0">
            <x v="0"/>
          </reference>
        </references>
      </pivotArea>
    </format>
    <format dxfId="12">
      <pivotArea outline="0" collapsedLevelsAreSubtotals="1" fieldPosition="0">
        <references count="1">
          <reference field="4294967294" count="1" selected="0">
            <x v="1"/>
          </reference>
        </references>
      </pivotArea>
    </format>
    <format dxfId="11">
      <pivotArea outline="0" collapsedLevelsAreSubtotals="1" fieldPosition="0">
        <references count="1">
          <reference field="4294967294" count="1" selected="0">
            <x v="2"/>
          </reference>
        </references>
      </pivotArea>
    </format>
    <format dxfId="10">
      <pivotArea type="all" dataOnly="0" outline="0" fieldPosition="0"/>
    </format>
    <format dxfId="9">
      <pivotArea outline="0" collapsedLevelsAreSubtotals="1" fieldPosition="0"/>
    </format>
    <format dxfId="8">
      <pivotArea field="3" type="button" dataOnly="0" labelOnly="1" outline="0" axis="axisRow" fieldPosition="0"/>
    </format>
    <format dxfId="7">
      <pivotArea dataOnly="0" labelOnly="1" outline="0" fieldPosition="0">
        <references count="1">
          <reference field="3" count="0"/>
        </references>
      </pivotArea>
    </format>
    <format dxfId="6">
      <pivotArea dataOnly="0" labelOnly="1" outline="0" fieldPosition="0">
        <references count="1">
          <reference field="4294967294" count="3">
            <x v="0"/>
            <x v="1"/>
            <x v="2"/>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4563"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18">
      <pivotArea outline="0" collapsedLevelsAreSubtotals="1" fieldPosition="0">
        <references count="1">
          <reference field="4294967294" count="1" selected="0">
            <x v="3"/>
          </reference>
        </references>
      </pivotArea>
    </format>
    <format dxfId="17">
      <pivotArea outline="0" collapsedLevelsAreSubtotals="1" fieldPosition="0">
        <references count="1">
          <reference field="4294967294" count="1" selected="0">
            <x v="4"/>
          </reference>
        </references>
      </pivotArea>
    </format>
    <format dxfId="16">
      <pivotArea outline="0" collapsedLevelsAreSubtotals="1" fieldPosition="0">
        <references count="1">
          <reference field="4294967294" count="1" selected="0">
            <x v="1"/>
          </reference>
        </references>
      </pivotArea>
    </format>
    <format dxfId="15">
      <pivotArea outline="0" collapsedLevelsAreSubtotals="1" fieldPosition="0">
        <references count="1">
          <reference field="4294967294" count="1" selected="0">
            <x v="2"/>
          </reference>
        </references>
      </pivotArea>
    </format>
    <format dxfId="14">
      <pivotArea outline="0" collapsedLevelsAreSubtotals="1" fieldPosition="0">
        <references count="1">
          <reference field="4294967294" count="1" selected="0">
            <x v="0"/>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4565"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2" firstHeaderRow="1" firstDataRow="1" firstDataCol="1"/>
  <pivotFields count="2">
    <pivotField axis="axisRow" compact="0" allDrilled="1" outline="0" subtotalTop="0" showAll="0" defaultSubtotal="0" defaultAttributeDrillState="1">
      <items count="1">
        <item s="1" x="0"/>
      </items>
    </pivotField>
    <pivotField compact="0" allDrilled="1" outline="0" subtotalTop="0" showAll="0" dataSourceSort="1" defaultSubtotal="0" defaultAttributeDrillState="1"/>
  </pivotFields>
  <rowFields count="1">
    <field x="0"/>
  </rowFields>
  <rowItems count="1">
    <i>
      <x/>
    </i>
  </rowItems>
  <formats count="4">
    <format dxfId="22">
      <pivotArea type="all" dataOnly="0" outline="0" fieldPosition="0"/>
    </format>
    <format dxfId="21">
      <pivotArea outline="0" collapsedLevelsAreSubtotals="1" fieldPosition="0"/>
    </format>
    <format dxfId="20">
      <pivotArea field="0" type="button" dataOnly="0" labelOnly="1" outline="0" axis="axisRow" fieldPosition="0"/>
    </format>
    <format dxfId="19">
      <pivotArea dataOnly="0" labelOnly="1" outline="0" fieldPosition="0">
        <references count="1">
          <reference field="0" count="0"/>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4564"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2" firstHeaderRow="0" firstDataRow="1" firstDataCol="1"/>
  <pivotFields count="8">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1">
        <item s="1" x="0"/>
      </items>
    </pivotField>
    <pivotField compact="0" allDrilled="1" outline="0" subtotalTop="0" showAll="0" dataSourceSort="1" defaultSubtotal="0" defaultAttributeDrillState="1"/>
  </pivotFields>
  <rowFields count="1">
    <field x="6"/>
  </rowFields>
  <rowItems count="1">
    <i>
      <x/>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27">
      <pivotArea outline="0" collapsedLevelsAreSubtotals="1" fieldPosition="0">
        <references count="1">
          <reference field="4294967294" count="1" selected="0">
            <x v="3"/>
          </reference>
        </references>
      </pivotArea>
    </format>
    <format dxfId="26">
      <pivotArea outline="0" collapsedLevelsAreSubtotals="1" fieldPosition="0">
        <references count="1">
          <reference field="4294967294" count="1" selected="0">
            <x v="4"/>
          </reference>
        </references>
      </pivotArea>
    </format>
    <format dxfId="25">
      <pivotArea outline="0" collapsedLevelsAreSubtotals="1" fieldPosition="0">
        <references count="1">
          <reference field="4294967294" count="1" selected="0">
            <x v="1"/>
          </reference>
        </references>
      </pivotArea>
    </format>
    <format dxfId="24">
      <pivotArea outline="0" collapsedLevelsAreSubtotals="1" fieldPosition="0">
        <references count="1">
          <reference field="4294967294" count="1" selected="0">
            <x v="2"/>
          </reference>
        </references>
      </pivotArea>
    </format>
    <format dxfId="23">
      <pivotArea outline="0" collapsedLevelsAreSubtotals="1" fieldPosition="0">
        <references count="1">
          <reference field="4294967294" count="1" selected="0">
            <x v="0"/>
          </reference>
        </references>
      </pivotArea>
    </format>
  </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4560"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3">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0">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4558"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7">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6"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3">
      <pivotArea outline="0" collapsedLevelsAreSubtotals="1" fieldPosition="0">
        <references count="1">
          <reference field="4294967294" count="1" selected="0">
            <x v="0"/>
          </reference>
        </references>
      </pivotArea>
    </format>
    <format dxfId="2">
      <pivotArea outline="0" fieldPosition="0">
        <references count="1">
          <reference field="4294967294" count="1">
            <x v="1"/>
          </reference>
        </references>
      </pivotArea>
    </format>
    <format dxfId="1">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64">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multipleItemSelectionAllowed="1" dragToData="1">
      <members count="1" level="1">
        <member name="[DimDate].[Month Name].&amp;[Aug]"/>
      </members>
    </pivotHierarchy>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4562"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7">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4">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4559"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5">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63">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Date].[Year].&amp;[2007]"/>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Geography].[Country].&amp;[Canad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398928443">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2" name="PivotTable11"/>
  </pivotTables>
  <data>
    <olap pivotCacheId="398928443">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mp;[2007]"/>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11"/>
    <pivotTable tabId="12" name="PivotTable9"/>
    <pivotTable tabId="12" name="PivotTable1"/>
    <pivotTable tabId="7" name="PivotTable2"/>
    <pivotTable tabId="12" name="PivotTable10"/>
    <pivotTable tabId="7" name="PivotTable1"/>
    <pivotTable tabId="7" name="PivotTable6"/>
    <pivotTable tabId="7" name="PivotTable7"/>
  </pivotTables>
  <data>
    <olap pivotCacheId="398928443">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mp;[Canad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showCaption="0" level="1" style="SlicerStyleLight1 2" rowHeight="241300"/>
  <slicer name="Country" xr10:uid="{2865CE51-F0B3-4B28-A78A-81E7EF9E9D6E}" cache="Slicer_Country" caption="Country" columnCount="2" showCaption="0" level="1" style="SlicerStyleLight1 2" rowHeight="504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topLeftCell="J1" workbookViewId="0">
      <selection activeCell="N2" sqref="N2"/>
    </sheetView>
  </sheetViews>
  <sheetFormatPr defaultRowHeight="15" x14ac:dyDescent="0.25"/>
  <cols>
    <col min="1" max="1" width="12.140625" bestFit="1" customWidth="1"/>
    <col min="2" max="2" width="9.28515625" bestFit="1" customWidth="1"/>
    <col min="3" max="4" width="8.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24443</v>
      </c>
      <c r="B2" s="2">
        <v>102379613.11629985</v>
      </c>
      <c r="C2" s="2">
        <v>42547110.664200231</v>
      </c>
      <c r="D2" s="2">
        <v>59832502.452100649</v>
      </c>
      <c r="E2" s="3">
        <v>255715</v>
      </c>
      <c r="F2" s="1">
        <v>606</v>
      </c>
      <c r="G2" s="1">
        <v>133</v>
      </c>
      <c r="H2" s="1">
        <v>473</v>
      </c>
      <c r="I2" s="5">
        <v>0.41558186604854741</v>
      </c>
      <c r="M2">
        <v>2007</v>
      </c>
      <c r="N2" s="3">
        <v>24443</v>
      </c>
      <c r="O2" s="2">
        <v>102379613.11629985</v>
      </c>
      <c r="P2" s="2">
        <v>42547110.664200231</v>
      </c>
      <c r="Q2" s="2">
        <v>59832502.452100649</v>
      </c>
      <c r="R2" s="3">
        <v>255715</v>
      </c>
      <c r="S2" s="5">
        <v>0.41558186604854741</v>
      </c>
      <c r="U2" s="9">
        <v>2007</v>
      </c>
      <c r="X2">
        <f>COUNTA(U2:U5)</f>
        <v>1</v>
      </c>
    </row>
    <row r="5" spans="1:27" x14ac:dyDescent="0.25">
      <c r="B5" s="6" t="s">
        <v>8</v>
      </c>
      <c r="C5" s="7">
        <v>2</v>
      </c>
      <c r="X5" s="16" t="s">
        <v>20</v>
      </c>
      <c r="Y5" s="16" t="s">
        <v>7</v>
      </c>
      <c r="Z5" s="16" t="s">
        <v>23</v>
      </c>
      <c r="AA5" s="16" t="s">
        <v>11</v>
      </c>
    </row>
    <row r="6" spans="1:27" x14ac:dyDescent="0.25">
      <c r="X6" s="9" t="s">
        <v>21</v>
      </c>
      <c r="Y6" s="9">
        <f>IF(X2=1,U2,0)</f>
        <v>2007</v>
      </c>
      <c r="Z6" s="10">
        <f>IFERROR(VLOOKUP(Y6,looktable,4,0),0)</f>
        <v>42547110.664200231</v>
      </c>
      <c r="AA6" s="17">
        <f>IFERROR(Z6/SUM($Z$6:$Z$7),0)</f>
        <v>1</v>
      </c>
    </row>
    <row r="7" spans="1:27" x14ac:dyDescent="0.25">
      <c r="X7" s="9" t="s">
        <v>22</v>
      </c>
      <c r="Y7" s="9">
        <f>U2-1</f>
        <v>2006</v>
      </c>
      <c r="Z7" s="10">
        <f>IFERROR(VLOOKUP(Y7,looktable,4,0),0)</f>
        <v>0</v>
      </c>
      <c r="AA7" s="17">
        <f>IFERROR(Z7/SUM($Z$6:$Z$7),0)</f>
        <v>0</v>
      </c>
    </row>
    <row r="8" spans="1:27" x14ac:dyDescent="0.25">
      <c r="A8" s="8" t="s">
        <v>7</v>
      </c>
      <c r="B8" s="9" t="s">
        <v>14</v>
      </c>
      <c r="C8" s="9" t="s">
        <v>15</v>
      </c>
      <c r="D8" s="9" t="s">
        <v>0</v>
      </c>
    </row>
    <row r="9" spans="1:27" x14ac:dyDescent="0.25">
      <c r="A9" s="9">
        <v>2007</v>
      </c>
      <c r="B9" s="10">
        <v>102379613.11629985</v>
      </c>
      <c r="C9" s="10">
        <v>42547110.664200231</v>
      </c>
      <c r="D9" s="11">
        <v>24443</v>
      </c>
      <c r="X9" s="18" t="s">
        <v>24</v>
      </c>
      <c r="Y9" s="18"/>
      <c r="Z9" s="18"/>
      <c r="AA9" s="19">
        <f>AA6-AA7</f>
        <v>1</v>
      </c>
    </row>
    <row r="12" spans="1:27" x14ac:dyDescent="0.25">
      <c r="X12" s="16" t="s">
        <v>5</v>
      </c>
      <c r="Y12" s="16" t="s">
        <v>7</v>
      </c>
      <c r="Z12" s="16" t="s">
        <v>25</v>
      </c>
      <c r="AA12" s="16" t="s">
        <v>11</v>
      </c>
    </row>
    <row r="13" spans="1:27" x14ac:dyDescent="0.25">
      <c r="X13" s="9" t="s">
        <v>21</v>
      </c>
      <c r="Y13" s="9">
        <f>IF(X2=1,U2,0)</f>
        <v>2007</v>
      </c>
      <c r="Z13" s="10">
        <f>IFERROR(VLOOKUP(Y13,looktable,3,0),0)</f>
        <v>102379613.11629985</v>
      </c>
      <c r="AA13" s="17">
        <f>Z13/SUM($Z$13:$Z$14)</f>
        <v>1</v>
      </c>
    </row>
    <row r="14" spans="1:27" x14ac:dyDescent="0.25">
      <c r="X14" s="9" t="s">
        <v>22</v>
      </c>
      <c r="Y14" s="9">
        <f>U2-1</f>
        <v>2006</v>
      </c>
      <c r="Z14" s="10">
        <f>IFERROR(VLOOKUP(Y14,looktable,3,0),0)</f>
        <v>0</v>
      </c>
      <c r="AA14" s="17">
        <f>Z14/SUM($Z$13:$Z$14)</f>
        <v>0</v>
      </c>
    </row>
    <row r="16" spans="1:27" x14ac:dyDescent="0.25">
      <c r="A16" s="9" t="str">
        <f>A8</f>
        <v>Year</v>
      </c>
      <c r="B16" s="9" t="str">
        <f>_xlfn.IFS($C$5=1,B8,$C$5=2,C8,$C$5=3,D8)</f>
        <v xml:space="preserve"> Profit</v>
      </c>
      <c r="C16" s="9" t="str">
        <f>"Average"  &amp;  B16</f>
        <v>Average Profit</v>
      </c>
      <c r="D16" s="9" t="s">
        <v>9</v>
      </c>
      <c r="X16" s="18" t="s">
        <v>24</v>
      </c>
      <c r="Y16" s="18"/>
      <c r="Z16" s="18"/>
      <c r="AA16" s="19">
        <f>AA13-AA14</f>
        <v>1</v>
      </c>
    </row>
    <row r="17" spans="1:27" x14ac:dyDescent="0.25">
      <c r="A17" s="9">
        <f>A9</f>
        <v>2007</v>
      </c>
      <c r="B17" s="10">
        <f>_xlfn.IFS($C$5=1,B9,$C$5=2,C9,$C$5=3,D9)</f>
        <v>42547110.664200231</v>
      </c>
      <c r="C17" s="12">
        <f>AVERAGE($B$17:$B$20)</f>
        <v>10636777.666050058</v>
      </c>
      <c r="D17" s="9">
        <f>IF(B17&gt;C17,B17," ")</f>
        <v>42547110.664200231</v>
      </c>
    </row>
    <row r="18" spans="1:27" x14ac:dyDescent="0.25">
      <c r="A18" s="9">
        <f>A10</f>
        <v>0</v>
      </c>
      <c r="B18" s="10">
        <f>_xlfn.IFS($C$5=1,B10,$C$5=2,C10,$C$5=3,D10)</f>
        <v>0</v>
      </c>
      <c r="C18" s="12">
        <f>AVERAGE($B$17:$B$20)</f>
        <v>10636777.666050058</v>
      </c>
      <c r="D18" s="9" t="str">
        <f>IF(B18&gt;C18,B18," ")</f>
        <v xml:space="preserve"> </v>
      </c>
      <c r="X18" s="16" t="s">
        <v>3</v>
      </c>
      <c r="Y18" s="16" t="s">
        <v>7</v>
      </c>
      <c r="Z18" s="16" t="s">
        <v>26</v>
      </c>
      <c r="AA18" s="16" t="s">
        <v>11</v>
      </c>
    </row>
    <row r="19" spans="1:27" x14ac:dyDescent="0.25">
      <c r="A19" s="9">
        <f>A11</f>
        <v>0</v>
      </c>
      <c r="B19" s="10">
        <f>_xlfn.IFS($C$5=1,B11,$C$5=2,C11,$C$5=3,D11)</f>
        <v>0</v>
      </c>
      <c r="C19" s="12">
        <f>AVERAGE($B$17:$B$20)</f>
        <v>10636777.666050058</v>
      </c>
      <c r="D19" s="9" t="str">
        <f>IF(B19&gt;C19,B19," ")</f>
        <v xml:space="preserve"> </v>
      </c>
      <c r="X19" s="9" t="s">
        <v>21</v>
      </c>
      <c r="Y19" s="9">
        <f>IF(X2=1,U2,0)</f>
        <v>2007</v>
      </c>
      <c r="Z19" s="10">
        <f>IFERROR(VLOOKUP(Y19,looktable,5,0),0)</f>
        <v>59832502.452100649</v>
      </c>
      <c r="AA19" s="17">
        <f>Z19/SUM($Z$19:$Z$20)</f>
        <v>1</v>
      </c>
    </row>
    <row r="20" spans="1:27" x14ac:dyDescent="0.25">
      <c r="A20" s="9">
        <f>A12</f>
        <v>0</v>
      </c>
      <c r="B20" s="10">
        <f>_xlfn.IFS($C$5=1,B12,$C$5=2,C12,$C$5=3,D12)</f>
        <v>0</v>
      </c>
      <c r="C20" s="12">
        <f>AVERAGE($B$17:$B$20)</f>
        <v>10636777.666050058</v>
      </c>
      <c r="D20" s="9" t="str">
        <f>IF(B20&gt;C20,B20," ")</f>
        <v xml:space="preserve"> </v>
      </c>
      <c r="X20" s="9" t="s">
        <v>22</v>
      </c>
      <c r="Y20" s="9">
        <f>U2-1</f>
        <v>2006</v>
      </c>
      <c r="Z20" s="10">
        <f>IFERROR(VLOOKUP(Y20,looktable,5,0),0)</f>
        <v>0</v>
      </c>
      <c r="AA20" s="17">
        <f>Z20/SUM($Z$19:$Z$20)</f>
        <v>0</v>
      </c>
    </row>
    <row r="22" spans="1:27" x14ac:dyDescent="0.25">
      <c r="X22" s="18" t="s">
        <v>24</v>
      </c>
      <c r="Y22" s="18"/>
      <c r="Z22" s="18"/>
      <c r="AA22" s="19">
        <f>AA19-AA20</f>
        <v>1</v>
      </c>
    </row>
    <row r="23" spans="1:27" x14ac:dyDescent="0.25">
      <c r="B23" t="s">
        <v>10</v>
      </c>
      <c r="D23" t="s">
        <v>12</v>
      </c>
    </row>
    <row r="24" spans="1:27" x14ac:dyDescent="0.25">
      <c r="B24">
        <f>SUM(D17:D20)</f>
        <v>42547110.664200231</v>
      </c>
      <c r="D24" t="str">
        <f>"of" &amp; B16 &amp; " came from the highlighted years"</f>
        <v>of Profit came from the highlighted years</v>
      </c>
      <c r="X24" s="16" t="s">
        <v>4</v>
      </c>
      <c r="Y24" s="16" t="s">
        <v>7</v>
      </c>
      <c r="Z24" s="16" t="s">
        <v>27</v>
      </c>
      <c r="AA24" s="16" t="s">
        <v>11</v>
      </c>
    </row>
    <row r="25" spans="1:27" x14ac:dyDescent="0.25">
      <c r="A25" t="s">
        <v>11</v>
      </c>
      <c r="B25" s="13">
        <f>B24/SUM(B17:B20)</f>
        <v>1</v>
      </c>
      <c r="D25" t="s">
        <v>13</v>
      </c>
      <c r="X25" s="9" t="s">
        <v>21</v>
      </c>
      <c r="Y25" s="9">
        <f>IF(X2=1,U2,0)</f>
        <v>2007</v>
      </c>
      <c r="Z25" s="11">
        <f>IFERROR(VLOOKUP(Y25,looktable,6,0),0)</f>
        <v>255715</v>
      </c>
      <c r="AA25" s="17">
        <f>Z25/SUM($Z$25:$Z$26)</f>
        <v>1</v>
      </c>
    </row>
    <row r="26" spans="1:27" x14ac:dyDescent="0.25">
      <c r="X26" s="9" t="s">
        <v>22</v>
      </c>
      <c r="Y26" s="9">
        <f>U2-1</f>
        <v>2006</v>
      </c>
      <c r="Z26" s="11">
        <f>IFERROR(VLOOKUP(Y26,looktable,6,0),0)</f>
        <v>0</v>
      </c>
      <c r="AA26" s="17">
        <f>Z26/SUM($Z$25:$Z$26)</f>
        <v>0</v>
      </c>
    </row>
    <row r="28" spans="1:27" x14ac:dyDescent="0.25">
      <c r="B28" s="3"/>
      <c r="C28" s="3"/>
      <c r="X28" s="18" t="s">
        <v>24</v>
      </c>
      <c r="Y28" s="18"/>
      <c r="Z28" s="18"/>
      <c r="AA28" s="19">
        <f>AA25-AA26</f>
        <v>1</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2007</v>
      </c>
      <c r="Z31" s="11">
        <f>IFERROR(VLOOKUP(Y31,looktable,2,0),0)</f>
        <v>24443</v>
      </c>
      <c r="AA31" s="17">
        <f>Z31/SUM($Z$31:$Z$32)</f>
        <v>1</v>
      </c>
    </row>
    <row r="32" spans="1:27" x14ac:dyDescent="0.25">
      <c r="X32" s="9" t="s">
        <v>22</v>
      </c>
      <c r="Y32" s="9">
        <f>U2-1</f>
        <v>2006</v>
      </c>
      <c r="Z32" s="11">
        <f>IFERROR(VLOOKUP(Y32,looktable,2,0),0)</f>
        <v>0</v>
      </c>
      <c r="AA32" s="17">
        <f>Z32/SUM($Z$31:$Z$32)</f>
        <v>0</v>
      </c>
    </row>
    <row r="34" spans="24:27" x14ac:dyDescent="0.25">
      <c r="X34" s="18" t="s">
        <v>24</v>
      </c>
      <c r="Y34" s="18"/>
      <c r="Z34" s="18"/>
      <c r="AA34" s="19">
        <f>AA31-AA32</f>
        <v>1</v>
      </c>
    </row>
    <row r="36" spans="24:27" x14ac:dyDescent="0.25">
      <c r="X36" s="16" t="s">
        <v>6</v>
      </c>
      <c r="Y36" s="16" t="s">
        <v>7</v>
      </c>
      <c r="Z36" s="16" t="s">
        <v>30</v>
      </c>
      <c r="AA36" s="16" t="s">
        <v>11</v>
      </c>
    </row>
    <row r="37" spans="24:27" x14ac:dyDescent="0.25">
      <c r="X37" s="9" t="s">
        <v>21</v>
      </c>
      <c r="Y37" s="9">
        <f>IF(X2=1,U2,0)</f>
        <v>2007</v>
      </c>
      <c r="Z37" s="20">
        <f>IFERROR(VLOOKUP(Y37,looktable,7,0),0)</f>
        <v>0.41558186604854741</v>
      </c>
      <c r="AA37" s="17">
        <f>Z37/SUM($Z$37:$Z$38)</f>
        <v>1</v>
      </c>
    </row>
    <row r="38" spans="24:27" x14ac:dyDescent="0.25">
      <c r="X38" s="9" t="s">
        <v>22</v>
      </c>
      <c r="Y38" s="9">
        <f>U2-1</f>
        <v>2006</v>
      </c>
      <c r="Z38" s="20">
        <f>IFERROR(VLOOKUP(Y38,looktable,7,0),0)</f>
        <v>0</v>
      </c>
      <c r="AA38" s="17">
        <f>Z38/SUM($Z$37:$Z$38)</f>
        <v>0</v>
      </c>
    </row>
    <row r="40" spans="24:27" x14ac:dyDescent="0.25">
      <c r="X40" s="18" t="s">
        <v>24</v>
      </c>
      <c r="Y40" s="18"/>
      <c r="Z40" s="18"/>
      <c r="AA40" s="19">
        <f>AA37-AA38</f>
        <v>1</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abSelected="1" topLeftCell="A30" zoomScaleNormal="100" workbookViewId="0">
      <selection activeCell="N2" sqref="N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L1" workbookViewId="0">
      <selection activeCell="AD4" sqref="AD4"/>
    </sheetView>
  </sheetViews>
  <sheetFormatPr defaultRowHeight="15" x14ac:dyDescent="0.25"/>
  <cols>
    <col min="1" max="1" width="15" bestFit="1" customWidth="1"/>
    <col min="2" max="2" width="7.140625" bestFit="1" customWidth="1"/>
    <col min="3" max="7" width="14.85546875" bestFit="1" customWidth="1"/>
    <col min="8" max="8" width="5.5703125" style="15" customWidth="1"/>
    <col min="9" max="9" width="14.85546875" bestFit="1" customWidth="1"/>
    <col min="10" max="10" width="12.28515625" bestFit="1" customWidth="1"/>
    <col min="11" max="11" width="7.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7573887.1603000155</v>
      </c>
      <c r="G1" t="str">
        <f>INDEX($A$2:$A$13,MATCH(F1,$B$2:$B$13,0))</f>
        <v>Dec</v>
      </c>
    </row>
    <row r="2" spans="1:32" x14ac:dyDescent="0.25">
      <c r="A2" t="s">
        <v>35</v>
      </c>
      <c r="B2" s="2">
        <v>1897575.526300001</v>
      </c>
      <c r="E2">
        <v>2</v>
      </c>
      <c r="F2" s="2">
        <f t="shared" ref="F2:F3" si="0">LARGE($B$2:$B$13,E2)</f>
        <v>5237857.4058000129</v>
      </c>
      <c r="G2" t="str">
        <f t="shared" ref="G2:G3" si="1">INDEX($A$2:$A$13,MATCH(F2,$B$2:$B$13,0))</f>
        <v>Nov</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2118816.2383999997</v>
      </c>
      <c r="E3">
        <v>3</v>
      </c>
      <c r="F3" s="2">
        <f t="shared" si="0"/>
        <v>4817409.9899000134</v>
      </c>
      <c r="G3" t="str">
        <f t="shared" si="1"/>
        <v>Oct</v>
      </c>
      <c r="J3" t="s">
        <v>48</v>
      </c>
      <c r="K3" s="2">
        <v>5902518.0922999829</v>
      </c>
      <c r="N3" t="str">
        <f t="shared" ref="N3:N9" si="2">J3</f>
        <v>Sun</v>
      </c>
      <c r="O3" s="2">
        <f t="shared" ref="O3:O9" si="3">K3</f>
        <v>5902518.0922999829</v>
      </c>
      <c r="P3" t="str">
        <f>IFERROR(_xlfn.IFS(O3=$T$3,O3,O3=$T$4,O3,O3=$T$5,O3),"")</f>
        <v/>
      </c>
      <c r="S3">
        <v>1</v>
      </c>
      <c r="T3">
        <f>LARGE($O$3:$O$9,S3)</f>
        <v>6417223.5029999902</v>
      </c>
      <c r="X3" t="s">
        <v>54</v>
      </c>
      <c r="Y3" s="2">
        <v>30782470.505600207</v>
      </c>
      <c r="Z3" s="13">
        <f>Y3/SUM($Y$3:$Y$4)</f>
        <v>0.7234914433684686</v>
      </c>
      <c r="AD3" t="s">
        <v>59</v>
      </c>
      <c r="AE3" s="2">
        <v>6104055.3510999922</v>
      </c>
      <c r="AF3" s="22">
        <v>0.1434658019266167</v>
      </c>
    </row>
    <row r="4" spans="1:32" x14ac:dyDescent="0.25">
      <c r="A4" t="s">
        <v>38</v>
      </c>
      <c r="B4" s="2">
        <v>2087663.5863999994</v>
      </c>
      <c r="J4" t="s">
        <v>46</v>
      </c>
      <c r="K4" s="2">
        <v>5954860.5016000122</v>
      </c>
      <c r="N4" t="str">
        <f t="shared" si="2"/>
        <v>Mon</v>
      </c>
      <c r="O4" s="2">
        <f t="shared" si="3"/>
        <v>5954860.5016000122</v>
      </c>
      <c r="P4" t="str">
        <f t="shared" ref="P4:P9" si="4">IFERROR(_xlfn.IFS(O4=$T$3,O4,O4=$T$4,O4,O4=$T$5,O4),"")</f>
        <v/>
      </c>
      <c r="S4">
        <v>2</v>
      </c>
      <c r="T4">
        <f t="shared" ref="T4:T5" si="5">LARGE($O$3:$O$9,S4)</f>
        <v>6365340.8778000204</v>
      </c>
      <c r="X4" t="s">
        <v>55</v>
      </c>
      <c r="Y4" s="2">
        <v>11764640.158600049</v>
      </c>
      <c r="Z4" s="13">
        <f>Y4/SUM($Y$3:$Y$4)</f>
        <v>0.2765085566315314</v>
      </c>
      <c r="AD4" t="s">
        <v>60</v>
      </c>
      <c r="AE4" s="2">
        <v>6938272.1688999878</v>
      </c>
      <c r="AF4" s="22">
        <v>0.16307269895856766</v>
      </c>
    </row>
    <row r="5" spans="1:32" x14ac:dyDescent="0.25">
      <c r="A5" t="s">
        <v>31</v>
      </c>
      <c r="B5" s="2">
        <v>2216974.4109000009</v>
      </c>
      <c r="E5" t="s">
        <v>11</v>
      </c>
      <c r="F5" s="13">
        <f>SUM(F1:F3)/SUM(B2:B13)</f>
        <v>0.41434434162020656</v>
      </c>
      <c r="J5" t="s">
        <v>50</v>
      </c>
      <c r="K5" s="2">
        <v>6061244.2484000046</v>
      </c>
      <c r="N5" t="str">
        <f t="shared" si="2"/>
        <v>Tue</v>
      </c>
      <c r="O5" s="2">
        <f t="shared" si="3"/>
        <v>6061244.2484000046</v>
      </c>
      <c r="P5">
        <f t="shared" si="4"/>
        <v>6061244.2484000046</v>
      </c>
      <c r="S5">
        <v>3</v>
      </c>
      <c r="T5">
        <f t="shared" si="5"/>
        <v>6061244.2484000046</v>
      </c>
      <c r="AD5" t="s">
        <v>61</v>
      </c>
      <c r="AE5" s="2">
        <v>11875628.588200066</v>
      </c>
      <c r="AF5" s="22">
        <v>0.27911715749460742</v>
      </c>
    </row>
    <row r="6" spans="1:32" x14ac:dyDescent="0.25">
      <c r="A6" t="s">
        <v>39</v>
      </c>
      <c r="B6" s="2">
        <v>2385932.3568999991</v>
      </c>
      <c r="J6" t="s">
        <v>51</v>
      </c>
      <c r="K6" s="2">
        <v>6417223.5029999902</v>
      </c>
      <c r="N6" t="str">
        <f t="shared" si="2"/>
        <v>Wed</v>
      </c>
      <c r="O6" s="2">
        <f t="shared" si="3"/>
        <v>6417223.5029999902</v>
      </c>
      <c r="P6">
        <f t="shared" si="4"/>
        <v>6417223.5029999902</v>
      </c>
      <c r="X6" t="s">
        <v>57</v>
      </c>
      <c r="Y6" s="13">
        <f>MAX(Z3:Z4)</f>
        <v>0.7234914433684686</v>
      </c>
      <c r="AD6" t="s">
        <v>62</v>
      </c>
      <c r="AE6" s="2">
        <v>17629154.556000076</v>
      </c>
      <c r="AF6" s="22">
        <v>0.41434434162020567</v>
      </c>
    </row>
    <row r="7" spans="1:32" x14ac:dyDescent="0.25">
      <c r="A7" t="s">
        <v>37</v>
      </c>
      <c r="B7" s="2">
        <v>2335365.4010999976</v>
      </c>
      <c r="E7" t="str">
        <f>"In"&amp;'Analysis 1'!U2</f>
        <v>In2007</v>
      </c>
      <c r="J7" t="s">
        <v>49</v>
      </c>
      <c r="K7" s="2">
        <v>6365340.8778000204</v>
      </c>
      <c r="N7" t="str">
        <f t="shared" si="2"/>
        <v>Thu</v>
      </c>
      <c r="O7" s="2">
        <f t="shared" si="3"/>
        <v>6365340.8778000204</v>
      </c>
      <c r="P7">
        <f t="shared" si="4"/>
        <v>6365340.8778000204</v>
      </c>
      <c r="Y7" t="str">
        <f>UPPER(INDEX(X3:X4,MATCH(Y6,Z3:Z4,0)))&amp;" Makes up"</f>
        <v>WEEKDAY Makes up</v>
      </c>
    </row>
    <row r="8" spans="1:32" x14ac:dyDescent="0.25">
      <c r="A8" t="s">
        <v>36</v>
      </c>
      <c r="B8" s="2">
        <v>3781241.7557999999</v>
      </c>
      <c r="J8" t="s">
        <v>45</v>
      </c>
      <c r="K8" s="2">
        <v>5983801.3747999882</v>
      </c>
      <c r="N8" t="str">
        <f t="shared" si="2"/>
        <v>Fri</v>
      </c>
      <c r="O8" s="2">
        <f t="shared" si="3"/>
        <v>5983801.3747999882</v>
      </c>
      <c r="P8" t="str">
        <f t="shared" si="4"/>
        <v/>
      </c>
    </row>
    <row r="9" spans="1:32" x14ac:dyDescent="0.25">
      <c r="A9" t="s">
        <v>32</v>
      </c>
      <c r="B9" s="2">
        <v>3651438.9383000112</v>
      </c>
      <c r="J9" t="s">
        <v>47</v>
      </c>
      <c r="K9" s="2">
        <v>5862122.0662999898</v>
      </c>
      <c r="N9" t="str">
        <f t="shared" si="2"/>
        <v>Sat</v>
      </c>
      <c r="O9" s="2">
        <f t="shared" si="3"/>
        <v>5862122.0662999898</v>
      </c>
      <c r="P9" t="str">
        <f t="shared" si="4"/>
        <v/>
      </c>
    </row>
    <row r="10" spans="1:32" x14ac:dyDescent="0.25">
      <c r="A10" t="s">
        <v>42</v>
      </c>
      <c r="B10" s="2">
        <v>4442947.8940999974</v>
      </c>
    </row>
    <row r="11" spans="1:32" x14ac:dyDescent="0.25">
      <c r="A11" t="s">
        <v>41</v>
      </c>
      <c r="B11" s="2">
        <v>4817409.9899000134</v>
      </c>
      <c r="N11" t="s">
        <v>11</v>
      </c>
      <c r="O11" s="13">
        <f>SUM(P3:P9)/SUM(O3:O9)</f>
        <v>0.44289279189657371</v>
      </c>
    </row>
    <row r="12" spans="1:32" x14ac:dyDescent="0.25">
      <c r="A12" t="s">
        <v>40</v>
      </c>
      <c r="B12" s="2">
        <v>5237857.4058000129</v>
      </c>
    </row>
    <row r="13" spans="1:32" x14ac:dyDescent="0.25">
      <c r="A13" t="s">
        <v>33</v>
      </c>
      <c r="B13" s="2">
        <v>7573887.1603000155</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Props1.xml><?xml version="1.0" encoding="utf-8"?>
<ds:datastoreItem xmlns:ds="http://schemas.openxmlformats.org/officeDocument/2006/customXml" ds:itemID="{66473D17-B36B-4D9F-9919-2B78B4C8BA56}">
  <ds:schemaRefs/>
</ds:datastoreItem>
</file>

<file path=customXml/itemProps2.xml><?xml version="1.0" encoding="utf-8"?>
<ds:datastoreItem xmlns:ds="http://schemas.openxmlformats.org/officeDocument/2006/customXml" ds:itemID="{3B524299-E2AC-4092-BE04-0100C8DCC8EB}">
  <ds:schemaRefs/>
</ds:datastoreItem>
</file>

<file path=customXml/itemProps3.xml><?xml version="1.0" encoding="utf-8"?>
<ds:datastoreItem xmlns:ds="http://schemas.openxmlformats.org/officeDocument/2006/customXml" ds:itemID="{6B130FFC-222E-4E04-B50C-3F902C98A1EA}">
  <ds:schemaRefs/>
</ds:datastoreItem>
</file>

<file path=customXml/itemProps4.xml><?xml version="1.0" encoding="utf-8"?>
<ds:datastoreItem xmlns:ds="http://schemas.openxmlformats.org/officeDocument/2006/customXml" ds:itemID="{5E45DEDE-D583-46DB-BCC0-48459C8B3824}">
  <ds:schemaRefs/>
</ds:datastoreItem>
</file>

<file path=customXml/itemProps5.xml><?xml version="1.0" encoding="utf-8"?>
<ds:datastoreItem xmlns:ds="http://schemas.openxmlformats.org/officeDocument/2006/customXml" ds:itemID="{6671032B-BE3E-4086-912C-D6011A4F4A2B}">
  <ds:schemaRefs/>
</ds:datastoreItem>
</file>

<file path=customXml/itemProps6.xml><?xml version="1.0" encoding="utf-8"?>
<ds:datastoreItem xmlns:ds="http://schemas.openxmlformats.org/officeDocument/2006/customXml" ds:itemID="{44B80552-ED7C-4614-B26E-1FDC2CC99A96}">
  <ds:schemaRefs/>
</ds:datastoreItem>
</file>

<file path=customXml/itemProps7.xml><?xml version="1.0" encoding="utf-8"?>
<ds:datastoreItem xmlns:ds="http://schemas.openxmlformats.org/officeDocument/2006/customXml" ds:itemID="{5856D767-4A5A-4C37-B3A3-3F52B40F4BFF}">
  <ds:schemaRefs/>
</ds:datastoreItem>
</file>

<file path=customXml/itemProps8.xml><?xml version="1.0" encoding="utf-8"?>
<ds:datastoreItem xmlns:ds="http://schemas.openxmlformats.org/officeDocument/2006/customXml" ds:itemID="{C21686A0-9FA5-40DC-9522-EF95AB8809BE}">
  <ds:schemaRefs>
    <ds:schemaRef ds:uri="http://schemas.microsoft.com/DataMashup"/>
  </ds:schemaRefs>
</ds:datastoreItem>
</file>

<file path=customXml/itemProps9.xml><?xml version="1.0" encoding="utf-8"?>
<ds:datastoreItem xmlns:ds="http://schemas.openxmlformats.org/officeDocument/2006/customXml" ds:itemID="{25625687-7F99-43DE-BEE8-82710FFCD51E}">
  <ds:schemaRefs/>
</ds:datastoreItem>
</file>

<file path=customXml/itemProps10.xml><?xml version="1.0" encoding="utf-8"?>
<ds:datastoreItem xmlns:ds="http://schemas.openxmlformats.org/officeDocument/2006/customXml" ds:itemID="{FAFDE0E8-EB83-4830-8A26-A9E245CA2E88}">
  <ds:schemaRefs/>
</ds:datastoreItem>
</file>

<file path=customXml/itemProps11.xml><?xml version="1.0" encoding="utf-8"?>
<ds:datastoreItem xmlns:ds="http://schemas.openxmlformats.org/officeDocument/2006/customXml" ds:itemID="{8A11D424-C170-4AE3-8953-82CD984CF05E}">
  <ds:schemaRefs/>
</ds:datastoreItem>
</file>

<file path=customXml/itemProps12.xml><?xml version="1.0" encoding="utf-8"?>
<ds:datastoreItem xmlns:ds="http://schemas.openxmlformats.org/officeDocument/2006/customXml" ds:itemID="{2DC854CD-ED27-4663-9C65-7A7816B2074F}">
  <ds:schemaRefs/>
</ds:datastoreItem>
</file>

<file path=customXml/itemProps13.xml><?xml version="1.0" encoding="utf-8"?>
<ds:datastoreItem xmlns:ds="http://schemas.openxmlformats.org/officeDocument/2006/customXml" ds:itemID="{9391157C-0EFE-42DB-B13E-340223BF4E69}">
  <ds:schemaRefs/>
</ds:datastoreItem>
</file>

<file path=customXml/itemProps14.xml><?xml version="1.0" encoding="utf-8"?>
<ds:datastoreItem xmlns:ds="http://schemas.openxmlformats.org/officeDocument/2006/customXml" ds:itemID="{A48DFC0E-FFA1-478C-91F2-6C3252A125D0}">
  <ds:schemaRefs/>
</ds:datastoreItem>
</file>

<file path=customXml/itemProps15.xml><?xml version="1.0" encoding="utf-8"?>
<ds:datastoreItem xmlns:ds="http://schemas.openxmlformats.org/officeDocument/2006/customXml" ds:itemID="{622FB59E-8E90-44E7-9454-1388D2EBA507}">
  <ds:schemaRefs/>
</ds:datastoreItem>
</file>

<file path=customXml/itemProps16.xml><?xml version="1.0" encoding="utf-8"?>
<ds:datastoreItem xmlns:ds="http://schemas.openxmlformats.org/officeDocument/2006/customXml" ds:itemID="{8B20CB92-BC0D-4180-BFC9-0641E68170EB}">
  <ds:schemaRefs/>
</ds:datastoreItem>
</file>

<file path=customXml/itemProps17.xml><?xml version="1.0" encoding="utf-8"?>
<ds:datastoreItem xmlns:ds="http://schemas.openxmlformats.org/officeDocument/2006/customXml" ds:itemID="{1FB260E1-FDEB-46B5-B23E-B6825F251847}">
  <ds:schemaRefs/>
</ds:datastoreItem>
</file>

<file path=customXml/itemProps18.xml><?xml version="1.0" encoding="utf-8"?>
<ds:datastoreItem xmlns:ds="http://schemas.openxmlformats.org/officeDocument/2006/customXml" ds:itemID="{154F1216-A63A-4745-9309-CD3D3B4364B1}">
  <ds:schemaRefs/>
</ds:datastoreItem>
</file>

<file path=customXml/itemProps19.xml><?xml version="1.0" encoding="utf-8"?>
<ds:datastoreItem xmlns:ds="http://schemas.openxmlformats.org/officeDocument/2006/customXml" ds:itemID="{86898150-9E18-42C5-AB05-2DDCEA38F02E}">
  <ds:schemaRefs/>
</ds:datastoreItem>
</file>

<file path=customXml/itemProps20.xml><?xml version="1.0" encoding="utf-8"?>
<ds:datastoreItem xmlns:ds="http://schemas.openxmlformats.org/officeDocument/2006/customXml" ds:itemID="{90BED013-65AD-4771-A9B9-F981C8D42671}">
  <ds:schemaRefs/>
</ds:datastoreItem>
</file>

<file path=customXml/itemProps21.xml><?xml version="1.0" encoding="utf-8"?>
<ds:datastoreItem xmlns:ds="http://schemas.openxmlformats.org/officeDocument/2006/customXml" ds:itemID="{44572910-502E-4A84-8434-3DA32F9B2E33}">
  <ds:schemaRefs/>
</ds:datastoreItem>
</file>

<file path=customXml/itemProps22.xml><?xml version="1.0" encoding="utf-8"?>
<ds:datastoreItem xmlns:ds="http://schemas.openxmlformats.org/officeDocument/2006/customXml" ds:itemID="{41502353-28B8-40C2-A63C-36A68B061243}">
  <ds:schemaRefs/>
</ds:datastoreItem>
</file>

<file path=customXml/itemProps23.xml><?xml version="1.0" encoding="utf-8"?>
<ds:datastoreItem xmlns:ds="http://schemas.openxmlformats.org/officeDocument/2006/customXml" ds:itemID="{E6B3C2B3-C621-4766-AD8A-F4374B9318BC}">
  <ds:schemaRefs/>
</ds:datastoreItem>
</file>

<file path=customXml/itemProps24.xml><?xml version="1.0" encoding="utf-8"?>
<ds:datastoreItem xmlns:ds="http://schemas.openxmlformats.org/officeDocument/2006/customXml" ds:itemID="{EEB4D430-34B4-4C7D-8935-F4F8C9129CFF}">
  <ds:schemaRefs/>
</ds:datastoreItem>
</file>

<file path=customXml/itemProps25.xml><?xml version="1.0" encoding="utf-8"?>
<ds:datastoreItem xmlns:ds="http://schemas.openxmlformats.org/officeDocument/2006/customXml" ds:itemID="{A226F770-5266-4188-B39E-B1FEFB5E9103}">
  <ds:schemaRefs/>
</ds:datastoreItem>
</file>

<file path=customXml/itemProps26.xml><?xml version="1.0" encoding="utf-8"?>
<ds:datastoreItem xmlns:ds="http://schemas.openxmlformats.org/officeDocument/2006/customXml" ds:itemID="{B998F005-8B6B-4ABB-95E2-C8F857ECB733}">
  <ds:schemaRefs/>
</ds:datastoreItem>
</file>

<file path=customXml/itemProps27.xml><?xml version="1.0" encoding="utf-8"?>
<ds:datastoreItem xmlns:ds="http://schemas.openxmlformats.org/officeDocument/2006/customXml" ds:itemID="{8E86AB7F-8A0F-4DAE-A427-13CECCECEFCC}">
  <ds:schemaRefs/>
</ds:datastoreItem>
</file>

<file path=customXml/itemProps28.xml><?xml version="1.0" encoding="utf-8"?>
<ds:datastoreItem xmlns:ds="http://schemas.openxmlformats.org/officeDocument/2006/customXml" ds:itemID="{8AC569F7-F150-4BD8-AA5F-42929FECA48D}">
  <ds:schemaRefs/>
</ds:datastoreItem>
</file>

<file path=customXml/itemProps29.xml><?xml version="1.0" encoding="utf-8"?>
<ds:datastoreItem xmlns:ds="http://schemas.openxmlformats.org/officeDocument/2006/customXml" ds:itemID="{7D452E14-A61A-4C11-89CB-CFEA96FE4EA4}">
  <ds:schemaRefs/>
</ds:datastoreItem>
</file>

<file path=customXml/itemProps30.xml><?xml version="1.0" encoding="utf-8"?>
<ds:datastoreItem xmlns:ds="http://schemas.openxmlformats.org/officeDocument/2006/customXml" ds:itemID="{D1D22A35-0516-4768-B68F-FA90D18E9E62}">
  <ds:schemaRefs/>
</ds:datastoreItem>
</file>

<file path=customXml/itemProps31.xml><?xml version="1.0" encoding="utf-8"?>
<ds:datastoreItem xmlns:ds="http://schemas.openxmlformats.org/officeDocument/2006/customXml" ds:itemID="{8A2F5AFB-F8C0-4574-A012-6B8C9F260C8F}">
  <ds:schemaRefs/>
</ds:datastoreItem>
</file>

<file path=customXml/itemProps32.xml><?xml version="1.0" encoding="utf-8"?>
<ds:datastoreItem xmlns:ds="http://schemas.openxmlformats.org/officeDocument/2006/customXml" ds:itemID="{60EAB325-9657-4DDC-9EE5-D25064C7D95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Analysis 1</vt:lpstr>
      <vt:lpstr>Dashboard 1</vt:lpstr>
      <vt:lpstr>Sheet2</vt:lpstr>
      <vt:lpstr>DimDate</vt:lpstr>
      <vt:lpstr>DimGeography</vt:lpstr>
      <vt:lpstr>DimProduct</vt:lpstr>
      <vt:lpstr>DimSalesTerritory</vt:lpstr>
      <vt:lpstr>Analysis 2</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2026-07-11T18:11:27Z</dcterms:modified>
</cp:coreProperties>
</file>