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7F6874C1-21C4-420A-942D-2FC40F7D573A}"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Sheet1" sheetId="1" r:id="rId9"/>
  </sheets>
  <definedNames>
    <definedName name="looktable">'Analysis 1'!$M$1:$S$5</definedName>
    <definedName name="Slicer_Year">#N/A</definedName>
  </definedNames>
  <calcPr calcId="191029"/>
  <pivotCaches>
    <pivotCache cacheId="1" r:id="rId10"/>
    <pivotCache cacheId="115" r:id="rId11"/>
    <pivotCache cacheId="220" r:id="rId12"/>
    <pivotCache cacheId="223" r:id="rId13"/>
  </pivotCaches>
  <extLst>
    <ext xmlns:x14="http://schemas.microsoft.com/office/spreadsheetml/2009/9/main" uri="{876F7934-8845-4945-9796-88D515C7AA90}">
      <x14:pivotCaches>
        <pivotCache cacheId="26"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A32" i="7" l="1"/>
  <c r="AA31" i="7"/>
  <c r="Z32" i="7"/>
  <c r="Z31" i="7"/>
  <c r="Y32" i="7"/>
  <c r="Y31" i="7"/>
  <c r="AA26" i="7"/>
  <c r="AA25" i="7"/>
  <c r="Z26" i="7"/>
  <c r="Z25" i="7"/>
  <c r="Y26" i="7"/>
  <c r="Y25" i="7"/>
  <c r="Y20" i="7"/>
  <c r="Z20" i="7" s="1"/>
  <c r="X2" i="7"/>
  <c r="Y6" i="7" s="1"/>
  <c r="B17" i="7"/>
  <c r="B18" i="7"/>
  <c r="B19" i="7"/>
  <c r="B20" i="7"/>
  <c r="B16" i="7"/>
  <c r="C16" i="7" s="1"/>
  <c r="A19" i="7"/>
  <c r="A20" i="7"/>
  <c r="A17" i="7"/>
  <c r="A18" i="7"/>
  <c r="A16" i="7"/>
  <c r="AA28" i="7" l="1"/>
  <c r="Y14" i="7"/>
  <c r="Z14" i="7" s="1"/>
  <c r="Y13" i="7"/>
  <c r="Z13" i="7" s="1"/>
  <c r="Z6" i="7"/>
  <c r="Y19" i="7"/>
  <c r="Z19" i="7" s="1"/>
  <c r="AA20" i="7" s="1"/>
  <c r="Y7" i="7"/>
  <c r="Z7" i="7" s="1"/>
  <c r="D24" i="7"/>
  <c r="C18" i="7"/>
  <c r="D18" i="7" s="1"/>
  <c r="C17" i="7"/>
  <c r="D17" i="7" s="1"/>
  <c r="C20" i="7"/>
  <c r="D20" i="7" s="1"/>
  <c r="C19" i="7"/>
  <c r="D19" i="7" s="1"/>
  <c r="AA34" i="7" l="1"/>
  <c r="AA7" i="7"/>
  <c r="AA19" i="7"/>
  <c r="AA22" i="7" s="1"/>
  <c r="AA13" i="7"/>
  <c r="AA14" i="7"/>
  <c r="AA6" i="7"/>
  <c r="AA9" i="7" s="1"/>
  <c r="B24" i="7"/>
  <c r="B25" i="7" s="1"/>
  <c r="AA16"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<sst xmlns="http://schemas.openxmlformats.org/spreadsheetml/2006/main" count="63" uniqueCount="30">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</sst>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 &quot;0.0,,\ &quot;M&quot;"/>
    <numFmt numFmtId="165" formatCode="0.00,&quot;K&quot;"/>
    <numFmt numFmtId="166" formatCode="0.00%;\-0.00%;0.00%"/>
    <numFmt numFmtId="167" formatCode="0.0%"/>
    <numFmt numFmtId="169" formatCode="\+0.00%;\ \-0.00%;\ 0.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8"/>
      <name val="Segoe UI"/>
      <family val="2"/>
    </font>
    <font>
      <sz val="11"/>
      <color theme="1" tint="0.34998626667073579"/>
      <name val="Calibri"/>
      <family val="2"/>
      <scheme val="minor"/>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0">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5"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9" fontId="1" fillId="4" borderId="0" xfId="0" applyNumberFormat="1" applyFont="1" applyFill="1"/>
  </cellXfs>
  <cellStyles count="1">
    <cellStyle name="Normal" xfId="0" builtinId="0"/>
  </cellStyles>
  <dxfs count="108">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s>
  <tableStyles count="1" defaultTableStyle="TableStyleMedium2" defaultPivotStyle="PivotStyleLight16">
    <tableStyle name="SlicerStyleLight1 2" pivot="0" table="0" count="10" xr9:uid="{69A4AECD-8509-4EED-873F-9D1CC4E10FED}">
      <tableStyleElement type="wholeTable" dxfId="94"/>
      <tableStyleElement type="headerRow" dxfId="93"/>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3" Type="http://schemas.openxmlformats.org/officeDocument/2006/relationships/worksheet" Target="worksheets/sheet3.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36184891042721956"/>
          <c:w val="0.92380952380952386"/>
          <c:h val="0.4556670048547958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2006</c:v>
                </c:pt>
                <c:pt idx="1">
                  <c:v>0</c:v>
                </c:pt>
                <c:pt idx="2">
                  <c:v>0</c:v>
                </c:pt>
                <c:pt idx="3">
                  <c:v>0</c:v>
                </c:pt>
              </c:numCache>
            </c:numRef>
          </c:cat>
          <c:val>
            <c:numRef>
              <c:f>'Analysis 1'!$A$17:$A$20</c:f>
              <c:numCache>
                <c:formatCode>General</c:formatCode>
                <c:ptCount val="4"/>
                <c:pt idx="0">
                  <c:v>2006</c:v>
                </c:pt>
                <c:pt idx="1">
                  <c:v>0</c:v>
                </c:pt>
                <c:pt idx="2">
                  <c:v>0</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2006</c:v>
                </c:pt>
                <c:pt idx="1">
                  <c:v>0</c:v>
                </c:pt>
                <c:pt idx="2">
                  <c:v>0</c:v>
                </c:pt>
                <c:pt idx="3">
                  <c:v>0</c:v>
                </c:pt>
              </c:numCache>
            </c:numRef>
          </c:cat>
          <c:val>
            <c:numRef>
              <c:f>'Analysis 1'!$B$17:$B$20</c:f>
              <c:numCache>
                <c:formatCode>"$ "0.0,,\ "M"</c:formatCode>
                <c:ptCount val="4"/>
                <c:pt idx="0">
                  <c:v>28177776.4263</c:v>
                </c:pt>
                <c:pt idx="1">
                  <c:v>0</c:v>
                </c:pt>
                <c:pt idx="2">
                  <c:v>0</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28177776.43</c:v>
                </c:pt>
              </c:strCache>
            </c:strRef>
          </c:tx>
          <c:spPr>
            <a:solidFill>
              <a:srgbClr val="00B0F0"/>
            </a:solidFill>
            <a:ln>
              <a:noFill/>
            </a:ln>
            <a:effectLst/>
          </c:spPr>
          <c:invertIfNegative val="0"/>
          <c:val>
            <c:numRef>
              <c:f>'Analysis 1'!$D$17:$D$20</c:f>
              <c:numCache>
                <c:formatCode>General</c:formatCode>
                <c:ptCount val="4"/>
                <c:pt idx="0">
                  <c:v>28177776.4263</c:v>
                </c:pt>
                <c:pt idx="1">
                  <c:v>0</c:v>
                </c:pt>
                <c:pt idx="2">
                  <c:v>0</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7044444.1065750001</c:v>
                </c:pt>
                <c:pt idx="1">
                  <c:v>7044444.1065750001</c:v>
                </c:pt>
                <c:pt idx="2">
                  <c:v>7044444.1065750001</c:v>
                </c:pt>
                <c:pt idx="3">
                  <c:v>7044444.1065750001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E3AAAAA5-A08F-46CD-A167-D6962BCD3648}"/>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36BD90AA-58DF-4A61-89BA-B0E01FBCF0C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A67EB647-8A21-4671-8D4F-AD063090A5F5}"/>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A63A6F07-DA6E-4421-A5FF-FDC785A9D831}"/>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F11B70EC-F7B7-4442-AC1F-1EB63B82390B}"/>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664CAB97-5779-4938-87CA-A51559F9813D}"/>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C38C0872-F4BA-4B2E-B5C2-AD5F4E98E01C}"/>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3BAB7571-C438-44C8-A946-F73F664EC5AB}"/>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CE79BE8D-D69F-4A28-963F-CF2F94E075FB}"/>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374AF981-BC49-49E4-AAF5-0FCE05AB7DF7}"/>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E2989C6B-044A-4DE4-8268-86590E57CB33}"/>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2BF3483-55BA-4088-8F66-8928ABF1A09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98AD3D2A-E325-4BE0-B148-374268F2F089}"/>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6250E7DE-A2EC-4F7B-B8AD-7452EAE11EA9}"/>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BB116EF1-FA56-4E4F-9738-99EE49C0211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3C363B3D-212A-46B9-94D5-B1BCF4C24C09}"/>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B6CE8B1E-F140-45AD-816C-D810BC8021D4}"/>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C03F72A9-4CA6-4CA9-9AC5-AE5FF9719809}"/>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8B544EAD-C94A-4B16-BB79-39A3A1337F9D}"/>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FE7E85CC-F32A-4450-8A60-B21CC9DDAEEA}"/>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BCADCC6E-6E43-4017-9CF3-4220FA3F07DE}"/>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58D534CD-904E-46C8-99B1-BA49E0377E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AA7BBF00-41A2-450A-A8B1-5E7E9B9186E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B839A24-1D8E-4751-9FD4-EA9EF782BD9E}"/>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D2DD8259-EEEE-47D7-9A72-99B39F07B0EB}"/>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121FF40D-D738-4606-83D6-A08B40A57DDC}"/>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52CF87E2-67E7-438E-BEF5-675C12A97B9E}"/>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5710863B-3E54-49ED-9219-60241E3BBDF3}"/>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C634CCFE-B3FE-4560-B7F2-6C4B2EEFA8DA}"/>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2A1CBAB6-0607-4FAF-B5BF-E05B55350E39}"/>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AFF9EABA-F077-4AFE-848A-FC43C64FA25E}"/>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628BB095-480F-4CBA-8C59-74061D0742E4}"/>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B88A0EF8-594A-40D6-847B-9B289156E1C6}"/>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B79CB4D0-AB91-45CF-9834-D29EC82023F4}"/>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FBB59A92-9F1F-4B2E-AAA6-C65196FC8F6C}"/>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4D61C024-B7BE-4CD6-9600-22500002528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7AFCC169-4C07-4E2B-B834-764D0B5865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35E86F32-A016-4403-A44A-D7737E27D6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4B93CAB9-0F8B-46CA-A7AB-5AF284A880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152401</xdr:rowOff>
    </xdr:from>
    <xdr:to>
      <xdr:col>21</xdr:col>
      <xdr:colOff>76200</xdr:colOff>
      <xdr:row>14</xdr:row>
      <xdr:rowOff>52387</xdr:rowOff>
    </xdr:to>
    <xdr:graphicFrame macro="">
      <xdr:nvGraphicFramePr>
        <xdr:cNvPr id="48" name="Chart 47">
          <a:extLst>
            <a:ext uri="{FF2B5EF4-FFF2-40B4-BE49-F238E27FC236}">
              <a16:creationId xmlns:a16="http://schemas.microsoft.com/office/drawing/2014/main" id="{0CF1284F-2CF5-44EF-B2E7-6D42697D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200025</xdr:colOff>
      <xdr:row>23</xdr:row>
      <xdr:rowOff>47625</xdr:rowOff>
    </xdr:from>
    <xdr:to>
      <xdr:col>20</xdr:col>
      <xdr:colOff>495300</xdr:colOff>
      <xdr:row>25</xdr:row>
      <xdr:rowOff>142875</xdr:rowOff>
    </xdr:to>
    <xdr:sp macro="" textlink="">
      <xdr:nvSpPr>
        <xdr:cNvPr id="49" name="Rectangle: Rounded Corners 48">
          <a:extLst>
            <a:ext uri="{FF2B5EF4-FFF2-40B4-BE49-F238E27FC236}">
              <a16:creationId xmlns:a16="http://schemas.microsoft.com/office/drawing/2014/main" id="{7DEC0D96-7BAB-4A9A-97BB-C6BB3A8FEAE7}"/>
            </a:ext>
          </a:extLst>
        </xdr:cNvPr>
        <xdr:cNvSpPr/>
      </xdr:nvSpPr>
      <xdr:spPr>
        <a:xfrm>
          <a:off x="11782425" y="4429125"/>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400050</xdr:colOff>
      <xdr:row>12</xdr:row>
      <xdr:rowOff>171449</xdr:rowOff>
    </xdr:from>
    <xdr:to>
      <xdr:col>20</xdr:col>
      <xdr:colOff>476250</xdr:colOff>
      <xdr:row>15</xdr:row>
      <xdr:rowOff>0</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74DD468E-A16E-4D35-9F99-D2C88A5322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44050" y="2457449"/>
              <a:ext cx="3124200" cy="40005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135113</xdr:colOff>
      <xdr:row>5</xdr:row>
      <xdr:rowOff>37043</xdr:rowOff>
    </xdr:from>
    <xdr:to>
      <xdr:col>16</xdr:col>
      <xdr:colOff>142875</xdr:colOff>
      <xdr:row>6</xdr:row>
      <xdr:rowOff>57151</xdr:rowOff>
    </xdr:to>
    <xdr:sp macro="" textlink="'Analysis 1'!B25">
      <xdr:nvSpPr>
        <xdr:cNvPr id="51" name="TextBox 50">
          <a:extLst>
            <a:ext uri="{FF2B5EF4-FFF2-40B4-BE49-F238E27FC236}">
              <a16:creationId xmlns:a16="http://schemas.microsoft.com/office/drawing/2014/main" id="{6DF057D7-1099-4923-AF9B-7B3AB9BC78A4}"/>
            </a:ext>
          </a:extLst>
        </xdr:cNvPr>
        <xdr:cNvSpPr txBox="1"/>
      </xdr:nvSpPr>
      <xdr:spPr>
        <a:xfrm>
          <a:off x="9279113" y="989543"/>
          <a:ext cx="617362" cy="21060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t>100.0%</a:t>
          </a:fld>
          <a:endParaRPr lang="en-KE" sz="1600" b="1">
            <a:solidFill>
              <a:srgbClr val="00B0F0"/>
            </a:solidFill>
          </a:endParaRPr>
        </a:p>
      </xdr:txBody>
    </xdr:sp>
    <xdr:clientData/>
  </xdr:twoCellAnchor>
  <xdr:twoCellAnchor>
    <xdr:from>
      <xdr:col>9</xdr:col>
      <xdr:colOff>0</xdr:colOff>
      <xdr:row>22</xdr:row>
      <xdr:rowOff>0</xdr:rowOff>
    </xdr:from>
    <xdr:to>
      <xdr:col>10</xdr:col>
      <xdr:colOff>295275</xdr:colOff>
      <xdr:row>24</xdr:row>
      <xdr:rowOff>95250</xdr:rowOff>
    </xdr:to>
    <xdr:sp macro="" textlink="">
      <xdr:nvSpPr>
        <xdr:cNvPr id="52" name="Rectangle: Rounded Corners 51">
          <a:extLst>
            <a:ext uri="{FF2B5EF4-FFF2-40B4-BE49-F238E27FC236}">
              <a16:creationId xmlns:a16="http://schemas.microsoft.com/office/drawing/2014/main" id="{472AC9C8-484B-4D44-97EF-AE22F41ADF9A}"/>
            </a:ext>
          </a:extLst>
        </xdr:cNvPr>
        <xdr:cNvSpPr/>
      </xdr:nvSpPr>
      <xdr:spPr>
        <a:xfrm>
          <a:off x="5486400" y="41910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135112</xdr:colOff>
      <xdr:row>6</xdr:row>
      <xdr:rowOff>65617</xdr:rowOff>
    </xdr:from>
    <xdr:to>
      <xdr:col>19</xdr:col>
      <xdr:colOff>561975</xdr:colOff>
      <xdr:row>7</xdr:row>
      <xdr:rowOff>142874</xdr:rowOff>
    </xdr:to>
    <xdr:sp macro="" textlink="'Analysis 1'!D24">
      <xdr:nvSpPr>
        <xdr:cNvPr id="53" name="TextBox 52">
          <a:extLst>
            <a:ext uri="{FF2B5EF4-FFF2-40B4-BE49-F238E27FC236}">
              <a16:creationId xmlns:a16="http://schemas.microsoft.com/office/drawing/2014/main" id="{730530A3-2691-420E-A913-B277D5D82989}"/>
            </a:ext>
          </a:extLst>
        </xdr:cNvPr>
        <xdr:cNvSpPr txBox="1"/>
      </xdr:nvSpPr>
      <xdr:spPr>
        <a:xfrm>
          <a:off x="9279112" y="1208617"/>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154162</xdr:colOff>
      <xdr:row>7</xdr:row>
      <xdr:rowOff>122768</xdr:rowOff>
    </xdr:from>
    <xdr:to>
      <xdr:col>16</xdr:col>
      <xdr:colOff>457199</xdr:colOff>
      <xdr:row>8</xdr:row>
      <xdr:rowOff>171450</xdr:rowOff>
    </xdr:to>
    <xdr:sp macro="" textlink="'Analysis 1'!C17">
      <xdr:nvSpPr>
        <xdr:cNvPr id="54" name="TextBox 53">
          <a:extLst>
            <a:ext uri="{FF2B5EF4-FFF2-40B4-BE49-F238E27FC236}">
              <a16:creationId xmlns:a16="http://schemas.microsoft.com/office/drawing/2014/main" id="{ACDE9978-F614-40C0-816F-39F22F0D9238}"/>
            </a:ext>
          </a:extLst>
        </xdr:cNvPr>
        <xdr:cNvSpPr txBox="1"/>
      </xdr:nvSpPr>
      <xdr:spPr>
        <a:xfrm>
          <a:off x="9298162" y="1456268"/>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7,044,444</a:t>
          </a:fld>
          <a:endParaRPr lang="en-KE" sz="1600" b="1">
            <a:solidFill>
              <a:schemeClr val="tx1">
                <a:lumMod val="65000"/>
                <a:lumOff val="35000"/>
              </a:schemeClr>
            </a:solidFill>
          </a:endParaRPr>
        </a:p>
      </xdr:txBody>
    </xdr:sp>
    <xdr:clientData/>
  </xdr:twoCellAnchor>
  <xdr:twoCellAnchor>
    <xdr:from>
      <xdr:col>15</xdr:col>
      <xdr:colOff>171450</xdr:colOff>
      <xdr:row>8</xdr:row>
      <xdr:rowOff>132292</xdr:rowOff>
    </xdr:from>
    <xdr:to>
      <xdr:col>17</xdr:col>
      <xdr:colOff>57150</xdr:colOff>
      <xdr:row>10</xdr:row>
      <xdr:rowOff>19049</xdr:rowOff>
    </xdr:to>
    <xdr:sp macro="" textlink="'Analysis 1'!C16">
      <xdr:nvSpPr>
        <xdr:cNvPr id="55" name="TextBox 54">
          <a:extLst>
            <a:ext uri="{FF2B5EF4-FFF2-40B4-BE49-F238E27FC236}">
              <a16:creationId xmlns:a16="http://schemas.microsoft.com/office/drawing/2014/main" id="{322793C0-A779-48C5-9339-642413BA178E}"/>
            </a:ext>
          </a:extLst>
        </xdr:cNvPr>
        <xdr:cNvSpPr txBox="1"/>
      </xdr:nvSpPr>
      <xdr:spPr>
        <a:xfrm>
          <a:off x="9315450" y="1656292"/>
          <a:ext cx="110490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257175</xdr:colOff>
      <xdr:row>9</xdr:row>
      <xdr:rowOff>171450</xdr:rowOff>
    </xdr:from>
    <xdr:to>
      <xdr:col>16</xdr:col>
      <xdr:colOff>0</xdr:colOff>
      <xdr:row>9</xdr:row>
      <xdr:rowOff>171451</xdr:rowOff>
    </xdr:to>
    <xdr:cxnSp macro="">
      <xdr:nvCxnSpPr>
        <xdr:cNvPr id="7" name="Straight Connector 6">
          <a:extLst>
            <a:ext uri="{FF2B5EF4-FFF2-40B4-BE49-F238E27FC236}">
              <a16:creationId xmlns:a16="http://schemas.microsoft.com/office/drawing/2014/main" id="{12E0F6D0-E099-4AFA-AD2D-0D543B567753}"/>
            </a:ext>
          </a:extLst>
        </xdr:cNvPr>
        <xdr:cNvCxnSpPr/>
      </xdr:nvCxnSpPr>
      <xdr:spPr>
        <a:xfrm flipV="1">
          <a:off x="9401175" y="188595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334431</xdr:colOff>
      <xdr:row>10</xdr:row>
      <xdr:rowOff>57150</xdr:rowOff>
    </xdr:from>
    <xdr:to>
      <xdr:col>6</xdr:col>
      <xdr:colOff>428625</xdr:colOff>
      <xdr:row>11</xdr:row>
      <xdr:rowOff>76200</xdr:rowOff>
    </xdr:to>
    <xdr:sp macro="" textlink="'Analysis 1'!AA16">
      <xdr:nvSpPr>
        <xdr:cNvPr id="56" name="Rectangle: Rounded Corners 55">
          <a:extLst>
            <a:ext uri="{FF2B5EF4-FFF2-40B4-BE49-F238E27FC236}">
              <a16:creationId xmlns:a16="http://schemas.microsoft.com/office/drawing/2014/main" id="{77B7A21F-4F8F-46DF-A819-752409FF2E37}"/>
            </a:ext>
          </a:extLst>
        </xdr:cNvPr>
        <xdr:cNvSpPr/>
      </xdr:nvSpPr>
      <xdr:spPr>
        <a:xfrm>
          <a:off x="3382431" y="1962150"/>
          <a:ext cx="703794" cy="2095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+35.11%</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76200</xdr:rowOff>
    </xdr:from>
    <xdr:to>
      <xdr:col>4</xdr:col>
      <xdr:colOff>152400</xdr:colOff>
      <xdr:row>11</xdr:row>
      <xdr:rowOff>66674</xdr:rowOff>
    </xdr:to>
    <xdr:sp macro="" textlink="'Analysis 1'!AA22">
      <xdr:nvSpPr>
        <xdr:cNvPr id="57" name="Rectangle: Rounded Corners 56">
          <a:extLst>
            <a:ext uri="{FF2B5EF4-FFF2-40B4-BE49-F238E27FC236}">
              <a16:creationId xmlns:a16="http://schemas.microsoft.com/office/drawing/2014/main" id="{FAE611B9-0361-409F-8883-CE8A3DB28FF7}"/>
            </a:ext>
          </a:extLst>
        </xdr:cNvPr>
        <xdr:cNvSpPr/>
      </xdr:nvSpPr>
      <xdr:spPr>
        <a:xfrm>
          <a:off x="1876425" y="1981200"/>
          <a:ext cx="714375"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+34.83%</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264581</xdr:colOff>
      <xdr:row>10</xdr:row>
      <xdr:rowOff>57150</xdr:rowOff>
    </xdr:from>
    <xdr:to>
      <xdr:col>11</xdr:col>
      <xdr:colOff>238125</xdr:colOff>
      <xdr:row>11</xdr:row>
      <xdr:rowOff>76201</xdr:rowOff>
    </xdr:to>
    <xdr:sp macro="" textlink="">
      <xdr:nvSpPr>
        <xdr:cNvPr id="59" name="Rectangle: Rounded Corners 58">
          <a:extLst>
            <a:ext uri="{FF2B5EF4-FFF2-40B4-BE49-F238E27FC236}">
              <a16:creationId xmlns:a16="http://schemas.microsoft.com/office/drawing/2014/main" id="{91F69373-E57C-4193-A4F4-95272AD30EAE}"/>
            </a:ext>
          </a:extLst>
        </xdr:cNvPr>
        <xdr:cNvSpPr/>
      </xdr:nvSpPr>
      <xdr:spPr>
        <a:xfrm>
          <a:off x="6360581" y="1962150"/>
          <a:ext cx="583144" cy="209551"/>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604306</xdr:colOff>
      <xdr:row>10</xdr:row>
      <xdr:rowOff>57151</xdr:rowOff>
    </xdr:from>
    <xdr:to>
      <xdr:col>9</xdr:col>
      <xdr:colOff>76200</xdr:colOff>
      <xdr:row>11</xdr:row>
      <xdr:rowOff>19050</xdr:rowOff>
    </xdr:to>
    <xdr:sp macro="" textlink="'Analysis 1'!AA9">
      <xdr:nvSpPr>
        <xdr:cNvPr id="60" name="Rectangle: Rounded Corners 59">
          <a:extLst>
            <a:ext uri="{FF2B5EF4-FFF2-40B4-BE49-F238E27FC236}">
              <a16:creationId xmlns:a16="http://schemas.microsoft.com/office/drawing/2014/main" id="{D5A170DD-49C0-420B-95A4-BFC56E2D44E8}"/>
            </a:ext>
          </a:extLst>
        </xdr:cNvPr>
        <xdr:cNvSpPr/>
      </xdr:nvSpPr>
      <xdr:spPr>
        <a:xfrm>
          <a:off x="4871506" y="1962151"/>
          <a:ext cx="691094" cy="152399"/>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t>+35.53%</a:t>
          </a:fld>
          <a:endParaRPr lang="en-KE" sz="1100">
            <a:solidFill>
              <a:schemeClr val="bg2">
                <a:lumMod val="50000"/>
              </a:schemeClr>
            </a:solidFill>
          </a:endParaRPr>
        </a:p>
      </xdr:txBody>
    </xdr:sp>
    <xdr:clientData/>
  </xdr:twoCellAnchor>
  <xdr:twoCellAnchor>
    <xdr:from>
      <xdr:col>0</xdr:col>
      <xdr:colOff>447675</xdr:colOff>
      <xdr:row>9</xdr:row>
      <xdr:rowOff>171450</xdr:rowOff>
    </xdr:from>
    <xdr:to>
      <xdr:col>1</xdr:col>
      <xdr:colOff>552450</xdr:colOff>
      <xdr:row>10</xdr:row>
      <xdr:rowOff>161924</xdr:rowOff>
    </xdr:to>
    <xdr:sp macro="" textlink="'Analysis 1'!AA28">
      <xdr:nvSpPr>
        <xdr:cNvPr id="61" name="Rectangle: Rounded Corners 60">
          <a:extLst>
            <a:ext uri="{FF2B5EF4-FFF2-40B4-BE49-F238E27FC236}">
              <a16:creationId xmlns:a16="http://schemas.microsoft.com/office/drawing/2014/main" id="{76E37828-0F86-4E80-8DA2-5DFF900D4AD5}"/>
            </a:ext>
          </a:extLst>
        </xdr:cNvPr>
        <xdr:cNvSpPr/>
      </xdr:nvSpPr>
      <xdr:spPr>
        <a:xfrm>
          <a:off x="447675" y="1885950"/>
          <a:ext cx="714375" cy="180974"/>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t>+46.41%</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E3329CB1-401E-4E67-9CB0-C76E2809D7C5}"/>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+34.83%</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9</xdr:row>
      <xdr:rowOff>152400</xdr:rowOff>
    </xdr:from>
    <xdr:to>
      <xdr:col>13</xdr:col>
      <xdr:colOff>533400</xdr:colOff>
      <xdr:row>10</xdr:row>
      <xdr:rowOff>142874</xdr:rowOff>
    </xdr:to>
    <xdr:sp macro="" textlink="'Analysis 1'!AA34">
      <xdr:nvSpPr>
        <xdr:cNvPr id="63" name="Rectangle: Rounded Corners 62">
          <a:extLst>
            <a:ext uri="{FF2B5EF4-FFF2-40B4-BE49-F238E27FC236}">
              <a16:creationId xmlns:a16="http://schemas.microsoft.com/office/drawing/2014/main" id="{C3B91CC7-F58E-4B4A-9C16-F512EDC6BD3A}"/>
            </a:ext>
          </a:extLst>
        </xdr:cNvPr>
        <xdr:cNvSpPr/>
      </xdr:nvSpPr>
      <xdr:spPr>
        <a:xfrm>
          <a:off x="7743825" y="1866900"/>
          <a:ext cx="714375" cy="180974"/>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t>+45.09%</a:t>
          </a:fld>
          <a:endParaRPr lang="en-KE" sz="1100" b="1" i="0" u="none" strike="noStrike">
            <a:solidFill>
              <a:schemeClr val="bg2">
                <a:lumMod val="50000"/>
              </a:schemeClr>
            </a:solidFill>
            <a:latin typeface="Calibri"/>
            <a:ea typeface="+mn-ea"/>
            <a:cs typeface="Calibr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E0B4E8-5825-4D2A-8EA4-866785690817}"/>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68555D81-9D80-44C6-9834-0D2FA5679362}"/>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BE73AC6E-846A-4853-A2EB-69CEEBC1EFDB}"/>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F8618CA0-5AA3-42AD-B6F9-52CA1E09E852}"/>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956693287037" backgroundQuery="1" createdVersion="6" refreshedVersion="6" minRefreshableVersion="3" recordCount="0" supportSubquery="1" supportAdvancedDrill="1" xr:uid="{49960CD0-5969-4D0D-9421-0B35D27204FF}">
  <cacheSource type="external" connectionId="8"/>
  <cacheFields count="7">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 Profit Margin]" caption="% Profit Margin" numFmtId="0" hierarchy="45"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990068634259"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6" maxValue="2006" count="1">
        <n v="2006"/>
      </sharedItems>
      <extLst>
        <ext xmlns:x15="http://schemas.microsoft.com/office/spreadsheetml/2010/11/main" uri="{4F2E5C28-24EA-4eb8-9CBF-B6C8F9C3D259}">
          <x15:cachedUniqueNames>
            <x15:cachedUniqueName index="0" name="[DimDate].[Year].&amp;[2006]"/>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990069097221" backgroundQuery="1" createdVersion="6" refreshedVersion="6" minRefreshableVersion="3" recordCount="0" supportSubquery="1" supportAdvancedDrill="1" xr:uid="{85659A51-EA5B-4192-B4AB-BF184747E3D8}">
  <cacheSource type="external" connectionId="8"/>
  <cacheFields count="1">
    <cacheField name="[DimDate].[Year].[Year]" caption="Year" numFmtId="0" hierarchy="8" level="1">
      <sharedItems containsSemiMixedTypes="0" containsString="0" containsNumber="1" containsInteger="1" minValue="2006" maxValue="2006" count="1">
        <n v="2006"/>
      </sharedItems>
      <extLst>
        <ext xmlns:x15="http://schemas.microsoft.com/office/spreadsheetml/2010/11/main" uri="{4F2E5C28-24EA-4eb8-9CBF-B6C8F9C3D259}">
          <x15:cachedUniqueNames>
            <x15:cachedUniqueName index="0" name="[DimDate].[Year].&amp;[2006]"/>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223"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U1:U2" firstHeaderRow="1" firstDataRow="1" firstDataCol="1"/>
  <pivotFields count="1">
    <pivotField axis="axisRow" compact="0" allDrilled="1" outline="0" subtotalTop="0" showAll="0" defaultSubtotal="0" defaultAttributeDrillState="1">
      <items count="1">
        <item s="1" x="0"/>
      </items>
    </pivotField>
  </pivotFields>
  <rowFields count="1">
    <field x="0"/>
  </rowFields>
  <rowItems count="1">
    <i>
      <x/>
    </i>
  </rowItems>
  <formats count="4">
    <format dxfId="84">
      <pivotArea type="all" dataOnly="0" outline="0" fieldPosition="0"/>
    </format>
    <format dxfId="85">
      <pivotArea outline="0" collapsedLevelsAreSubtotals="1" fieldPosition="0"/>
    </format>
    <format dxfId="86">
      <pivotArea field="0" type="button" dataOnly="0" labelOnly="1" outline="0" axis="axisRow" fieldPosition="0"/>
    </format>
    <format dxfId="87">
      <pivotArea dataOnly="0" labelOnly="1" outline="0" fieldPosition="0">
        <references count="1">
          <reference field="0" count="0"/>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15" applyNumberFormats="0" applyBorderFormats="0" applyFontFormats="0" applyPatternFormats="0" applyAlignmentFormats="0" applyWidthHeightFormats="1" dataCaption="Values" tag="74ce36d1-defe-458e-86e6-590255282440" updatedVersion="6" minRefreshableVersion="3" useAutoFormatting="1" rowGrandTotals="0" colGrandTotals="0" itemPrintTitles="1" createdVersion="6" indent="0" compact="0" compactData="0" multipleFieldFilters="0">
  <location ref="M1:S5" firstHeaderRow="0" firstDataRow="1" firstDataCol="1"/>
  <pivotFields count="7">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88">
      <pivotArea outline="0" collapsedLevelsAreSubtotals="1" fieldPosition="0">
        <references count="1">
          <reference field="4294967294" count="1" selected="0">
            <x v="3"/>
          </reference>
        </references>
      </pivotArea>
    </format>
    <format dxfId="89">
      <pivotArea outline="0" collapsedLevelsAreSubtotals="1" fieldPosition="0">
        <references count="1">
          <reference field="4294967294" count="1" selected="0">
            <x v="4"/>
          </reference>
        </references>
      </pivotArea>
    </format>
    <format dxfId="90">
      <pivotArea outline="0" collapsedLevelsAreSubtotals="1" fieldPosition="0">
        <references count="1">
          <reference field="4294967294" count="1" selected="0">
            <x v="1"/>
          </reference>
        </references>
      </pivotArea>
    </format>
    <format dxfId="91">
      <pivotArea outline="0" collapsedLevelsAreSubtotals="1" fieldPosition="0">
        <references count="1">
          <reference field="4294967294" count="1" selected="0">
            <x v="2"/>
          </reference>
        </references>
      </pivotArea>
    </format>
    <format dxfId="92">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220"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9"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1">
    <field x="3"/>
  </rowFields>
  <rowItems count="1">
    <i>
      <x/>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102">
      <pivotArea outline="0" collapsedLevelsAreSubtotals="1" fieldPosition="0">
        <references count="1">
          <reference field="4294967294" count="1" selected="0">
            <x v="0"/>
          </reference>
        </references>
      </pivotArea>
    </format>
    <format dxfId="101">
      <pivotArea outline="0" collapsedLevelsAreSubtotals="1" fieldPosition="0">
        <references count="1">
          <reference field="4294967294" count="1" selected="0">
            <x v="1"/>
          </reference>
        </references>
      </pivotArea>
    </format>
    <format dxfId="100">
      <pivotArea outline="0" collapsedLevelsAreSubtotals="1" fieldPosition="0">
        <references count="1">
          <reference field="4294967294" count="1" selected="0">
            <x v="2"/>
          </reference>
        </references>
      </pivotArea>
    </format>
    <format dxfId="99">
      <pivotArea type="all" dataOnly="0" outline="0" fieldPosition="0"/>
    </format>
    <format dxfId="98">
      <pivotArea outline="0" collapsedLevelsAreSubtotals="1" fieldPosition="0"/>
    </format>
    <format dxfId="97">
      <pivotArea field="3" type="button" dataOnly="0" labelOnly="1" outline="0" axis="axisRow" fieldPosition="0"/>
    </format>
    <format dxfId="96">
      <pivotArea dataOnly="0" labelOnly="1" outline="0" fieldPosition="0">
        <references count="1">
          <reference field="3" count="0"/>
        </references>
      </pivotArea>
    </format>
    <format dxfId="95">
      <pivotArea dataOnly="0" labelOnly="1" outline="0" fieldPosition="0">
        <references count="1">
          <reference field="4294967294" count="3">
            <x v="0"/>
            <x v="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107">
      <pivotArea outline="0" collapsedLevelsAreSubtotals="1" fieldPosition="0">
        <references count="1">
          <reference field="4294967294" count="1" selected="0">
            <x v="3"/>
          </reference>
        </references>
      </pivotArea>
    </format>
    <format dxfId="106">
      <pivotArea outline="0" collapsedLevelsAreSubtotals="1" fieldPosition="0">
        <references count="1">
          <reference field="4294967294" count="1" selected="0">
            <x v="4"/>
          </reference>
        </references>
      </pivotArea>
    </format>
    <format dxfId="105">
      <pivotArea outline="0" collapsedLevelsAreSubtotals="1" fieldPosition="0">
        <references count="1">
          <reference field="4294967294" count="1" selected="0">
            <x v="1"/>
          </reference>
        </references>
      </pivotArea>
    </format>
    <format dxfId="104">
      <pivotArea outline="0" collapsedLevelsAreSubtotals="1" fieldPosition="0">
        <references count="1">
          <reference field="4294967294" count="1" selected="0">
            <x v="2"/>
          </reference>
        </references>
      </pivotArea>
    </format>
    <format dxfId="103">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 tabId="7" name="PivotTable7"/>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6]"/>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34"/>
  <sheetViews>
    <sheetView topLeftCell="M19" workbookViewId="0">
      <selection activeCell="AA34" sqref="AA34"/>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307092945.19809997</v>
      </c>
      <c r="C2" s="2">
        <v>126290577.646</v>
      </c>
      <c r="D2" s="2">
        <v>180802367.5521</v>
      </c>
      <c r="E2" s="3">
        <v>631920</v>
      </c>
      <c r="F2" s="1">
        <v>606</v>
      </c>
      <c r="G2" s="1">
        <v>158</v>
      </c>
      <c r="H2" s="1">
        <v>448</v>
      </c>
      <c r="I2" s="5">
        <v>0.41124545392774253</v>
      </c>
      <c r="M2">
        <v>2005</v>
      </c>
      <c r="N2" s="3">
        <v>1013</v>
      </c>
      <c r="O2" s="2">
        <v>33370192.1712</v>
      </c>
      <c r="P2" s="2">
        <v>13403626.559800001</v>
      </c>
      <c r="Q2" s="2">
        <v>19966565.611400001</v>
      </c>
      <c r="R2" s="3">
        <v>10400</v>
      </c>
      <c r="S2" s="5">
        <v>0.40166465002763579</v>
      </c>
      <c r="U2" s="9">
        <v>2006</v>
      </c>
      <c r="X2">
        <f>COUNTA(U2:U5)</f>
        <v>1</v>
      </c>
    </row>
    <row r="3" spans="1:27" x14ac:dyDescent="0.25">
      <c r="M3">
        <v>2006</v>
      </c>
      <c r="N3" s="3">
        <v>2677</v>
      </c>
      <c r="O3" s="2">
        <v>69484523.200599998</v>
      </c>
      <c r="P3" s="2">
        <v>28177776.4263</v>
      </c>
      <c r="Q3" s="2">
        <v>41306746.774300002</v>
      </c>
      <c r="R3" s="3">
        <v>28413</v>
      </c>
      <c r="S3" s="5">
        <v>0.40552593769624778</v>
      </c>
    </row>
    <row r="4" spans="1:27" x14ac:dyDescent="0.25">
      <c r="M4">
        <v>2007</v>
      </c>
      <c r="N4" s="3">
        <v>24443</v>
      </c>
      <c r="O4" s="2">
        <v>102379613.1163</v>
      </c>
      <c r="P4" s="2">
        <v>42547110.6642</v>
      </c>
      <c r="Q4" s="2">
        <v>59832502.452100001</v>
      </c>
      <c r="R4" s="3">
        <v>255715</v>
      </c>
      <c r="S4" s="5">
        <v>0.41558186604854452</v>
      </c>
    </row>
    <row r="5" spans="1:27" x14ac:dyDescent="0.25">
      <c r="B5" s="6" t="s">
        <v>8</v>
      </c>
      <c r="C5" s="7">
        <v>2</v>
      </c>
      <c r="M5">
        <v>2008</v>
      </c>
      <c r="N5" s="3">
        <v>32265</v>
      </c>
      <c r="O5" s="2">
        <v>101858616.70999999</v>
      </c>
      <c r="P5" s="2">
        <v>42162063.995700002</v>
      </c>
      <c r="Q5" s="2">
        <v>59696552.714299999</v>
      </c>
      <c r="R5" s="3">
        <v>337392</v>
      </c>
      <c r="S5" s="5">
        <v>0.41392731766364865</v>
      </c>
      <c r="X5" s="16" t="s">
        <v>20</v>
      </c>
      <c r="Y5" s="16" t="s">
        <v>7</v>
      </c>
      <c r="Z5" s="16" t="s">
        <v>23</v>
      </c>
      <c r="AA5" s="16" t="s">
        <v>11</v>
      </c>
    </row>
    <row r="6" spans="1:27" x14ac:dyDescent="0.25">
      <c r="X6" s="9" t="s">
        <v>21</v>
      </c>
      <c r="Y6" s="9">
        <f>IF(X2=1,U2,0)</f>
        <v>2006</v>
      </c>
      <c r="Z6" s="10">
        <f>IFERROR(VLOOKUP(Y6,looktable,4,0),0)</f>
        <v>28177776.4263</v>
      </c>
      <c r="AA6" s="17">
        <f>Z6/SUM($Z$6:$Z$7)</f>
        <v>0.67765333545189377</v>
      </c>
    </row>
    <row r="7" spans="1:27" x14ac:dyDescent="0.25">
      <c r="X7" s="9" t="s">
        <v>22</v>
      </c>
      <c r="Y7" s="9">
        <f>IF(OR(U2=2008,X2&gt;1),0,U2-1)</f>
        <v>2005</v>
      </c>
      <c r="Z7" s="10">
        <f>IFERROR(VLOOKUP(Y7,looktable,4,0),0)</f>
        <v>13403626.559800001</v>
      </c>
      <c r="AA7" s="17">
        <f>Z7/SUM($Z$6:$Z$7)</f>
        <v>0.32234666454810623</v>
      </c>
    </row>
    <row r="8" spans="1:27" x14ac:dyDescent="0.25">
      <c r="A8" s="8" t="s">
        <v>7</v>
      </c>
      <c r="B8" s="9" t="s">
        <v>14</v>
      </c>
      <c r="C8" s="9" t="s">
        <v>15</v>
      </c>
      <c r="D8" s="9" t="s">
        <v>0</v>
      </c>
    </row>
    <row r="9" spans="1:27" x14ac:dyDescent="0.25">
      <c r="A9" s="9">
        <v>2006</v>
      </c>
      <c r="B9" s="10">
        <v>69484523.200599998</v>
      </c>
      <c r="C9" s="10">
        <v>28177776.4263</v>
      </c>
      <c r="D9" s="11">
        <v>2677</v>
      </c>
      <c r="X9" s="18" t="s">
        <v>24</v>
      </c>
      <c r="Y9" s="18"/>
      <c r="Z9" s="18"/>
      <c r="AA9" s="19">
        <f>AA6-AA7</f>
        <v>0.35530667090378754</v>
      </c>
    </row>
    <row r="12" spans="1:27" x14ac:dyDescent="0.25">
      <c r="X12" s="16" t="s">
        <v>5</v>
      </c>
      <c r="Y12" s="16" t="s">
        <v>7</v>
      </c>
      <c r="Z12" s="16" t="s">
        <v>25</v>
      </c>
      <c r="AA12" s="16" t="s">
        <v>11</v>
      </c>
    </row>
    <row r="13" spans="1:27" x14ac:dyDescent="0.25">
      <c r="X13" s="9" t="s">
        <v>21</v>
      </c>
      <c r="Y13" s="9">
        <f>IF(X2=1,U2,0)</f>
        <v>2006</v>
      </c>
      <c r="Z13" s="10">
        <f>IFERROR(VLOOKUP(Y13,looktable,3,0),0)</f>
        <v>69484523.200599998</v>
      </c>
      <c r="AA13" s="17">
        <f>Z13/SUM($Z$13:$Z$14)</f>
        <v>0.67555991914835223</v>
      </c>
    </row>
    <row r="14" spans="1:27" x14ac:dyDescent="0.25">
      <c r="X14" s="9" t="s">
        <v>22</v>
      </c>
      <c r="Y14" s="9">
        <f>IF(OR(U2=2008,X2&gt;1),0,U2-1)</f>
        <v>2005</v>
      </c>
      <c r="Z14" s="10">
        <f>IFERROR(VLOOKUP(Y14,looktable,3,0),0)</f>
        <v>33370192.1712</v>
      </c>
      <c r="AA14" s="17">
        <f>Z14/SUM($Z$13:$Z$14)</f>
        <v>0.32444008085164766</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0.35111983829670457</v>
      </c>
    </row>
    <row r="17" spans="1:27" x14ac:dyDescent="0.25">
      <c r="A17" s="9">
        <f t="shared" ref="A17:A21" si="0">A9</f>
        <v>2006</v>
      </c>
      <c r="B17" s="10">
        <f t="shared" ref="B17:B20" si="1">_xlfn.IFS($C$5=1,B9,$C$5=2,C9,$C$5=3,D9)</f>
        <v>28177776.4263</v>
      </c>
      <c r="C17" s="12">
        <f>AVERAGE($B$17:$B$20)</f>
        <v>7044444.1065750001</v>
      </c>
      <c r="D17" s="9">
        <f>IF(B17&gt;C17,B17," ")</f>
        <v>28177776.4263</v>
      </c>
    </row>
    <row r="18" spans="1:27" x14ac:dyDescent="0.25">
      <c r="A18" s="9">
        <f t="shared" si="0"/>
        <v>0</v>
      </c>
      <c r="B18" s="10">
        <f t="shared" si="1"/>
        <v>0</v>
      </c>
      <c r="C18" s="12">
        <f t="shared" ref="C18:C20" si="2">AVERAGE($B$17:$B$20)</f>
        <v>7044444.1065750001</v>
      </c>
      <c r="D18" s="9" t="str">
        <f t="shared" ref="D18:D20" si="3">IF(B18&gt;C18,B18," ")</f>
        <v xml:space="preserve"> </v>
      </c>
      <c r="X18" s="16" t="s">
        <v>3</v>
      </c>
      <c r="Y18" s="16" t="s">
        <v>7</v>
      </c>
      <c r="Z18" s="16" t="s">
        <v>26</v>
      </c>
      <c r="AA18" s="16" t="s">
        <v>11</v>
      </c>
    </row>
    <row r="19" spans="1:27" x14ac:dyDescent="0.25">
      <c r="A19" s="9">
        <f t="shared" si="0"/>
        <v>0</v>
      </c>
      <c r="B19" s="10">
        <f t="shared" si="1"/>
        <v>0</v>
      </c>
      <c r="C19" s="12">
        <f t="shared" si="2"/>
        <v>7044444.1065750001</v>
      </c>
      <c r="D19" s="9" t="str">
        <f t="shared" si="3"/>
        <v xml:space="preserve"> </v>
      </c>
      <c r="X19" s="9" t="s">
        <v>21</v>
      </c>
      <c r="Y19" s="9">
        <f>IF(X2=1,U2,0)</f>
        <v>2006</v>
      </c>
      <c r="Z19" s="10">
        <f>IFERROR(VLOOKUP(Y19,looktable,5,0),0)</f>
        <v>41306746.774300002</v>
      </c>
      <c r="AA19" s="17">
        <f>Z19/SUM($Z$19:$Z$20)</f>
        <v>0.6741392812956557</v>
      </c>
    </row>
    <row r="20" spans="1:27" x14ac:dyDescent="0.25">
      <c r="A20" s="9">
        <f t="shared" si="0"/>
        <v>0</v>
      </c>
      <c r="B20" s="10">
        <f t="shared" si="1"/>
        <v>0</v>
      </c>
      <c r="C20" s="12">
        <f t="shared" si="2"/>
        <v>7044444.1065750001</v>
      </c>
      <c r="D20" s="9" t="str">
        <f t="shared" si="3"/>
        <v xml:space="preserve"> </v>
      </c>
      <c r="X20" s="9" t="s">
        <v>22</v>
      </c>
      <c r="Y20" s="9">
        <f>IF(OR(U2=2008,X2&gt;1),0,U2-1)</f>
        <v>2005</v>
      </c>
      <c r="Z20" s="10">
        <f>IFERROR(VLOOKUP(Y20,looktable,5,0),0)</f>
        <v>19966565.611400001</v>
      </c>
      <c r="AA20" s="17">
        <f>Z20/SUM($Z$19:$Z$20)</f>
        <v>0.32586071870434424</v>
      </c>
    </row>
    <row r="22" spans="1:27" x14ac:dyDescent="0.25">
      <c r="X22" s="18" t="s">
        <v>24</v>
      </c>
      <c r="Y22" s="18"/>
      <c r="Z22" s="18"/>
      <c r="AA22" s="19">
        <f>AA19-AA20</f>
        <v>0.34827856259131146</v>
      </c>
    </row>
    <row r="23" spans="1:27" x14ac:dyDescent="0.25">
      <c r="B23" t="s">
        <v>10</v>
      </c>
      <c r="D23" t="s">
        <v>12</v>
      </c>
    </row>
    <row r="24" spans="1:27" x14ac:dyDescent="0.25">
      <c r="B24">
        <f>SUM(D17:D20)</f>
        <v>28177776.4263</v>
      </c>
      <c r="D24" t="str">
        <f>"of" &amp; B16 &amp; " came from the highlighted years"</f>
        <v>of Profit came from the highlighted years</v>
      </c>
      <c r="X24" s="16" t="s">
        <v>4</v>
      </c>
      <c r="Y24" s="16" t="s">
        <v>7</v>
      </c>
      <c r="Z24" s="16" t="s">
        <v>27</v>
      </c>
      <c r="AA24" s="16" t="s">
        <v>11</v>
      </c>
    </row>
    <row r="25" spans="1:27" x14ac:dyDescent="0.25">
      <c r="A25" t="s">
        <v>11</v>
      </c>
      <c r="B25" s="13">
        <f>B24/SUM(B17:B20)</f>
        <v>1</v>
      </c>
      <c r="D25" t="s">
        <v>13</v>
      </c>
      <c r="X25" s="9" t="s">
        <v>21</v>
      </c>
      <c r="Y25" s="9">
        <f>IF(X2=1,U2,0)</f>
        <v>2006</v>
      </c>
      <c r="Z25" s="10">
        <f>IFERROR(VLOOKUP(Y25,looktable,6,0),0)</f>
        <v>28413</v>
      </c>
      <c r="AA25" s="17">
        <f>Z25/SUM($Z$25:$Z$26)</f>
        <v>0.73204854043748224</v>
      </c>
    </row>
    <row r="26" spans="1:27" x14ac:dyDescent="0.25">
      <c r="X26" s="9" t="s">
        <v>22</v>
      </c>
      <c r="Y26" s="9">
        <f>IF(OR(U2=2008,X2&gt;1),0,U2-1)</f>
        <v>2005</v>
      </c>
      <c r="Z26" s="10">
        <f>IFERROR(VLOOKUP(Y26,looktable,6,0),0)</f>
        <v>10400</v>
      </c>
      <c r="AA26" s="17">
        <f>Z26/SUM($Z$25:$Z$26)</f>
        <v>0.2679514595625177</v>
      </c>
    </row>
    <row r="28" spans="1:27" x14ac:dyDescent="0.25">
      <c r="X28" s="18" t="s">
        <v>24</v>
      </c>
      <c r="Y28" s="18"/>
      <c r="Z28" s="18"/>
      <c r="AA28" s="19">
        <f>AA25-AA26</f>
        <v>0.46409708087496454</v>
      </c>
    </row>
    <row r="30" spans="1:27" x14ac:dyDescent="0.25">
      <c r="X30" s="16" t="s">
        <v>28</v>
      </c>
      <c r="Y30" s="16" t="s">
        <v>7</v>
      </c>
      <c r="Z30" s="16" t="s">
        <v>29</v>
      </c>
      <c r="AA30" s="16" t="s">
        <v>11</v>
      </c>
    </row>
    <row r="31" spans="1:27" x14ac:dyDescent="0.25">
      <c r="X31" s="9" t="s">
        <v>21</v>
      </c>
      <c r="Y31" s="9">
        <f>IF(X2=1,U2,0)</f>
        <v>2006</v>
      </c>
      <c r="Z31" s="10">
        <f>IFERROR(VLOOKUP(Y31,looktable,2,0),0)</f>
        <v>2677</v>
      </c>
      <c r="AA31" s="17">
        <f>Z31/SUM($Z$31:$Z$32)</f>
        <v>0.72547425474254745</v>
      </c>
    </row>
    <row r="32" spans="1:27" x14ac:dyDescent="0.25">
      <c r="X32" s="9" t="s">
        <v>22</v>
      </c>
      <c r="Y32" s="9">
        <f>IF(OR(U2=2008,X2&gt;1),0,U2-1)</f>
        <v>2005</v>
      </c>
      <c r="Z32" s="10">
        <f>IFERROR(VLOOKUP(Y32,looktable,2,0),0)</f>
        <v>1013</v>
      </c>
      <c r="AA32" s="17">
        <f>Z32/SUM($Z$31:$Z$32)</f>
        <v>0.27452574525745255</v>
      </c>
    </row>
    <row r="34" spans="24:27" x14ac:dyDescent="0.25">
      <c r="X34" s="18" t="s">
        <v>24</v>
      </c>
      <c r="Y34" s="18"/>
      <c r="Z34" s="18"/>
      <c r="AA34" s="19">
        <f>AA31-AA32</f>
        <v>0.45094850948509491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O20"/>
  <sheetViews>
    <sheetView showGridLines="0" showRowColHeaders="0" tabSelected="1" zoomScaleNormal="100" workbookViewId="0">
      <selection activeCell="F17" sqref="F17"/>
    </sheetView>
  </sheetViews>
  <sheetFormatPr defaultRowHeight="15" x14ac:dyDescent="0.25"/>
  <sheetData>
    <row r="20" spans="15: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17B-4C95-47FF-B59E-2A02DC09F271}">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90BED013-65AD-4771-A9B9-F981C8D42671}">
  <ds:schemaRefs/>
</ds:datastoreItem>
</file>

<file path=customXml/itemProps2.xml><?xml version="1.0" encoding="utf-8"?>
<ds:datastoreItem xmlns:ds="http://schemas.openxmlformats.org/officeDocument/2006/customXml" ds:itemID="{C38CF89B-C4FB-41BB-9C9E-8185EA3BD988}">
  <ds:schemaRefs/>
</ds:datastoreItem>
</file>

<file path=customXml/itemProps3.xml><?xml version="1.0" encoding="utf-8"?>
<ds:datastoreItem xmlns:ds="http://schemas.openxmlformats.org/officeDocument/2006/customXml" ds:itemID="{5A818098-6746-486C-A668-A325421CF4D5}">
  <ds:schemaRefs/>
</ds:datastoreItem>
</file>

<file path=customXml/itemProps4.xml><?xml version="1.0" encoding="utf-8"?>
<ds:datastoreItem xmlns:ds="http://schemas.openxmlformats.org/officeDocument/2006/customXml" ds:itemID="{66473D17-B36B-4D9F-9919-2B78B4C8BA56}">
  <ds:schemaRefs/>
</ds:datastoreItem>
</file>

<file path=customXml/itemProps5.xml><?xml version="1.0" encoding="utf-8"?>
<ds:datastoreItem xmlns:ds="http://schemas.openxmlformats.org/officeDocument/2006/customXml" ds:itemID="{622FB59E-8E90-44E7-9454-1388D2EBA50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B24B0BF7-1910-4E66-8090-CBA29947716E}">
  <ds:schemaRefs/>
</ds:datastoreItem>
</file>

<file path=customXml/itemProps8.xml><?xml version="1.0" encoding="utf-8"?>
<ds:datastoreItem xmlns:ds="http://schemas.openxmlformats.org/officeDocument/2006/customXml" ds:itemID="{B998F005-8B6B-4ABB-95E2-C8F857ECB733}">
  <ds:schemaRefs/>
</ds:datastoreItem>
</file>

<file path=customXml/itemProps9.xml><?xml version="1.0" encoding="utf-8"?>
<ds:datastoreItem xmlns:ds="http://schemas.openxmlformats.org/officeDocument/2006/customXml" ds:itemID="{32DC7BD5-D9E4-4DAE-A374-EEEAAA6F14A6}">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FC73CD6D-40ED-423F-BC4F-2FA5A76C1C6E}">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0EAB325-9657-4DDC-9EE5-D25064C7D957}">
  <ds:schemaRefs/>
</ds:datastoreItem>
</file>

<file path=customXml/itemProps16.xml><?xml version="1.0" encoding="utf-8"?>
<ds:datastoreItem xmlns:ds="http://schemas.openxmlformats.org/officeDocument/2006/customXml" ds:itemID="{44BAA218-45A7-4E24-BB1E-E486A131DD05}">
  <ds:schemaRefs/>
</ds:datastoreItem>
</file>

<file path=customXml/itemProps17.xml><?xml version="1.0" encoding="utf-8"?>
<ds:datastoreItem xmlns:ds="http://schemas.openxmlformats.org/officeDocument/2006/customXml" ds:itemID="{E6B3C2B3-C621-4766-AD8A-F4374B9318BC}">
  <ds:schemaRefs/>
</ds:datastoreItem>
</file>

<file path=customXml/itemProps18.xml><?xml version="1.0" encoding="utf-8"?>
<ds:datastoreItem xmlns:ds="http://schemas.openxmlformats.org/officeDocument/2006/customXml" ds:itemID="{86898150-9E18-42C5-AB05-2DDCEA38F02E}">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44B80552-ED7C-4614-B26E-1FDC2CC99A96}">
  <ds:schemaRefs/>
</ds:datastoreItem>
</file>

<file path=customXml/itemProps21.xml><?xml version="1.0" encoding="utf-8"?>
<ds:datastoreItem xmlns:ds="http://schemas.openxmlformats.org/officeDocument/2006/customXml" ds:itemID="{389F0947-71F3-46E0-8A21-23A2EF38E0BA}">
  <ds:schemaRefs/>
</ds:datastoreItem>
</file>

<file path=customXml/itemProps22.xml><?xml version="1.0" encoding="utf-8"?>
<ds:datastoreItem xmlns:ds="http://schemas.openxmlformats.org/officeDocument/2006/customXml" ds:itemID="{AF24E9B8-2D8C-4BB5-9A43-6F86FBA179B6}">
  <ds:schemaRefs/>
</ds:datastoreItem>
</file>

<file path=customXml/itemProps23.xml><?xml version="1.0" encoding="utf-8"?>
<ds:datastoreItem xmlns:ds="http://schemas.openxmlformats.org/officeDocument/2006/customXml" ds:itemID="{FAFDE0E8-EB83-4830-8A26-A9E245CA2E88}">
  <ds:schemaRefs/>
</ds:datastoreItem>
</file>

<file path=customXml/itemProps24.xml><?xml version="1.0" encoding="utf-8"?>
<ds:datastoreItem xmlns:ds="http://schemas.openxmlformats.org/officeDocument/2006/customXml" ds:itemID="{9391157C-0EFE-42DB-B13E-340223BF4E69}">
  <ds:schemaRefs/>
</ds:datastoreItem>
</file>

<file path=customXml/itemProps25.xml><?xml version="1.0" encoding="utf-8"?>
<ds:datastoreItem xmlns:ds="http://schemas.openxmlformats.org/officeDocument/2006/customXml" ds:itemID="{DE488956-52A7-42C9-88B8-22BD05622774}">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Analysis 1</vt:lpstr>
      <vt:lpstr>Dashboard 1</vt:lpstr>
      <vt:lpstr>Sheet2</vt:lpstr>
      <vt:lpstr>DimDate</vt:lpstr>
      <vt:lpstr>DimGeography</vt:lpstr>
      <vt:lpstr>DimProduct</vt:lpstr>
      <vt:lpstr>DimSalesTerritory</vt:lpstr>
      <vt:lpstr>FactInternetSales</vt:lpstr>
      <vt:lpstr>Sheet1</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2026-06-16T20:57:35Z</dcterms:modified>
</cp:coreProperties>
</file>