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5EF544EC-9AE9-4CB6-AC86-930348D16970}" xr6:coauthVersionLast="41" xr6:coauthVersionMax="41" xr10:uidLastSave="{00000000-0000-0000-0000-000000000000}"/>
  <bookViews>
    <workbookView xWindow="-120" yWindow="-120" windowWidth="20730" windowHeight="11040" firstSheet="2" activeTab="10"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1220" r:id="rId13"/>
    <pivotCache cacheId="1223" r:id="rId14"/>
    <pivotCache cacheId="1226" r:id="rId15"/>
    <pivotCache cacheId="1229" r:id="rId16"/>
    <pivotCache cacheId="1232" r:id="rId17"/>
    <pivotCache cacheId="1235" r:id="rId18"/>
    <pivotCache cacheId="1238" r:id="rId19"/>
    <pivotCache cacheId="1241" r:id="rId20"/>
    <pivotCache cacheId="1244" r:id="rId21"/>
    <pivotCache cacheId="1247" r:id="rId22"/>
    <pivotCache cacheId="1250" r:id="rId23"/>
    <pivotCache cacheId="1253" r:id="rId24"/>
    <pivotCache cacheId="1256" r:id="rId25"/>
    <pivotCache cacheId="1259" r:id="rId26"/>
    <pivotCache cacheId="1262" r:id="rId27"/>
    <pivotCache cacheId="1265" r:id="rId28"/>
    <pivotCache cacheId="1271" r:id="rId29"/>
  </pivotCaches>
  <extLst>
    <ext xmlns:x14="http://schemas.microsoft.com/office/spreadsheetml/2009/9/main" uri="{876F7934-8845-4945-9796-88D515C7AA90}">
      <x14:pivotCaches>
        <pivotCache cacheId="1219"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ProductKey" toTable="DimProduct" toColumn="ProductKey"/>
          <x15:modelRelationship fromTable="FactInternetSales" fromColumn="OrderDate" toTable="DimDate" toColumn="Date"/>
          <x15:modelRelationship fromTable="FactInternetSales" fromColumn="SalesTerritoryKey" toTable="DimSalesTerritory" toColumn="SalesTerritoryKey"/>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<sst xmlns="http://schemas.openxmlformats.org/spreadsheetml/2006/main" count="19085" uniqueCount="19017">
  <si>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</si>
  <si>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</si>
  <si>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</si>
  <si>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</si>
  <si>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</si>
  <si>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</si>
  <si>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</si>
  <si>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</si>
  <si>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</si>
  <si>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</si>
  <si>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</si>
  <si>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</si>
  <si>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</si>
  <si>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</si>
  <si>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</si>
  <si>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</si>
  <si>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</si>
  <si>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</si>
  <si>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</si>
  <si>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</si>
  <si>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</si>
  <si>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</si>
  <si>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</si>
  <si>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</si>
  <si>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</si>
  <si>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</si>
  <si>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</si>
  <si>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</si>
  <si>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</si>
  <si>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</si>
  <si>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</si>
  <si>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</si>
  <si>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</si>
  <si>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</si>
  <si>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</si>
  <si>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</si>
  <si>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</si>
  <si>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</si>
  <si>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</si>
  <si>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</si>
  <si>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</si>
  <si>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</si>
  <si>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</si>
  <si>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</si>
  <si>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</si>
  <si>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</si>
  <si>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</si>
  <si>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</si>
  <si>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</si>
  <si>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</si>
  <si>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</si>
  <si>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</si>
  <si>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</si>
  <si>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</si>
  <si>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</si>
  <si>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</si>
  <si>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</si>
  <si>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</si>
  <si>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</si>
  <si>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</si>
  <si>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</si>
  <si>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</si>
  <si>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</si>
  <si>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</si>
  <si>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</si>
  <si>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</si>
  <si>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</si>
  <si>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</si>
  <si>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</si>
  <si>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</si>
  <si>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</si>
  <si>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</si>
  <si>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</si>
  <si>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</si>
  <si>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</si>
  <si>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</si>
  <si>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</si>
  <si>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</si>
  <si>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</si>
  <si>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</si>
  <si>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</si>
  <si>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</si>
  <si>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</si>
  <si>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</si>
  <si>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</si>
  <si>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</si>
  <si>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</si>
  <si>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</si>
  <si>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</si>
  <si>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</si>
  <si>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</si>
  <si>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</si>
  <si>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</si>
  <si>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</si>
  <si>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</si>
  <si>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</si>
  <si>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</si>
  <si>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</si>
  <si>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</si>
  <si>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</si>
  <si>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</si>
  <si>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</si>
  <si>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</si>
  <si>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</si>
  <si>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</si>
  <si>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</si>
  <si>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</si>
  <si>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</si>
  <si>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</si>
  <si>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</si>
  <si>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</si>
  <si>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</si>
  <si>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</si>
  <si>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</si>
  <si>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</si>
  <si>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</si>
  <si>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</si>
  <si>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</si>
  <si>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</si>
  <si>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</si>
  <si>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</si>
  <si>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</si>
  <si>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</si>
  <si>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</si>
  <si>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</si>
  <si>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</si>
  <si>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</si>
  <si>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</si>
  <si>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</si>
  <si>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</si>
  <si>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</si>
  <si>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</si>
  <si>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</si>
  <si>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</si>
  <si>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</si>
  <si>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</si>
  <si>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</si>
  <si>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</si>
  <si>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</si>
  <si>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</si>
  <si>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</si>
  <si>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</si>
  <si>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</si>
  <si>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</si>
  <si>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</si>
  <si>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</si>
  <si>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</si>
  <si>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</si>
  <si>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</si>
  <si>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</si>
  <si>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</si>
  <si>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</si>
  <si>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</si>
  <si>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</si>
  <si>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</si>
  <si>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</si>
  <si>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</si>
  <si>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</si>
  <si>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</si>
  <si>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</si>
  <si>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</si>
  <si>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</si>
  <si>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</si>
  <si>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</si>
  <si>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</si>
  <si>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</si>
  <si>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</si>
  <si>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</si>
  <si>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</si>
  <si>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</si>
  <si>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</si>
  <si>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</si>
  <si>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</si>
  <si>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</si>
  <si>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</si>
  <si>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</si>
  <si>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</si>
  <si>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</si>
  <si>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</si>
  <si>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</si>
  <si>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</si>
  <si>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</si>
  <si>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</si>
  <si>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</si>
  <si>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</si>
  <si>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</si>
  <si>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</si>
  <si>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</si>
  <si>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</si>
  <si>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</si>
  <si>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</si>
  <si>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</si>
  <si>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</si>
  <si>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</si>
  <si>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</si>
  <si>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</si>
  <si>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</si>
  <si>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</si>
  <si>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</si>
  <si>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</si>
  <si>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</si>
  <si>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</si>
  <si>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</si>
  <si>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</si>
  <si>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</si>
  <si>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</si>
  <si>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</si>
  <si>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</si>
  <si>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</si>
  <si>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</si>
  <si>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</si>
  <si>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</si>
  <si>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</si>
  <si>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</si>
  <si>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</si>
  <si>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</si>
  <si>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</si>
  <si>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</si>
  <si>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</si>
  <si>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</si>
  <si>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</si>
  <si>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</si>
  <si>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</si>
  <si>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</si>
  <si>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</si>
  <si>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</si>
  <si>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</si>
  <si>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</si>
  <si>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</si>
  <si>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</si>
  <si>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</si>
  <si>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</si>
  <si>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</si>
  <si>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</si>
  <si>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</si>
  <si>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</si>
  <si>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</si>
  <si>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</si>
  <si>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</si>
  <si>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</si>
  <si>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</si>
  <si>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</si>
  <si>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</si>
  <si>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</si>
  <si>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</si>
  <si>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</si>
  <si>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</si>
  <si>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</si>
  <si>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</si>
  <si>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</si>
  <si>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</si>
  <si>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</si>
  <si>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</si>
  <si>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</si>
  <si>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</si>
  <si>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</si>
  <si>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</si>
  <si>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</si>
  <si>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</si>
  <si>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</si>
  <si>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</si>
  <si>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</si>
  <si>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</si>
  <si>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</si>
  <si>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</si>
  <si>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</si>
  <si>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</si>
  <si>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</si>
  <si>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</si>
  <si>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</si>
  <si>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</si>
  <si>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</si>
  <si>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</si>
  <si>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</si>
  <si>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</si>
  <si>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</si>
  <si>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</si>
  <si>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</si>
  <si>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</si>
  <si>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</si>
  <si>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</si>
  <si>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</si>
  <si>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</si>
  <si>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</si>
  <si>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</si>
  <si>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</si>
  <si>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</si>
  <si>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</si>
  <si>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</si>
  <si>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</si>
  <si>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</si>
  <si>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</si>
  <si>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</si>
  <si>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</si>
  <si>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</si>
  <si>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</si>
  <si>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</si>
  <si>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</si>
  <si>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</si>
  <si>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</si>
  <si>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</si>
  <si>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</si>
  <si>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</si>
  <si>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</si>
  <si>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</si>
  <si>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</si>
  <si>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</si>
  <si>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</si>
  <si>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</si>
  <si>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</si>
  <si>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</si>
  <si>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</si>
  <si>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</si>
  <si>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</si>
  <si>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</si>
  <si>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</si>
  <si>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</si>
  <si>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</si>
  <si>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</si>
  <si>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</si>
  <si>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</si>
  <si>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</si>
  <si>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</si>
  <si>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</si>
  <si>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</si>
  <si>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</si>
  <si>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</si>
  <si>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</si>
  <si>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</si>
  <si>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</si>
  <si>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</si>
  <si>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</si>
  <si>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</si>
  <si>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</si>
  <si>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</si>
  <si>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</si>
  <si>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</si>
  <si>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</si>
  <si>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</si>
  <si>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</si>
  <si>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</si>
  <si>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</si>
  <si>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</si>
  <si>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</si>
  <si>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</si>
  <si>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</si>
  <si>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</si>
  <si>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</si>
  <si>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</si>
  <si>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</si>
  <si>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</si>
  <si>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</si>
  <si>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</si>
  <si>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</si>
  <si>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</si>
  <si>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</si>
  <si>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</si>
  <si>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</si>
  <si>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</si>
  <si>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</si>
  <si>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</si>
  <si>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</si>
  <si>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</si>
  <si>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</si>
  <si>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</si>
  <si>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</si>
  <si>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</si>
  <si>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</si>
  <si>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</si>
  <si>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</si>
  <si>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</si>
  <si>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</si>
  <si>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</si>
  <si>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</si>
  <si>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</si>
  <si>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</si>
  <si>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</si>
  <si>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</si>
  <si>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</si>
  <si>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</si>
  <si>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</si>
  <si>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</si>
  <si>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</si>
  <si>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</si>
  <si>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</si>
  <si>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</si>
  <si>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</si>
  <si>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</si>
  <si>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</si>
  <si>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</si>
  <si>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</si>
  <si>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</si>
  <si>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</si>
  <si>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</si>
  <si>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</si>
  <si>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</si>
  <si>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</si>
  <si>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</si>
  <si>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</si>
  <si>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</si>
  <si>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</si>
  <si>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</si>
  <si>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</si>
  <si>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</si>
  <si>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</si>
  <si>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</si>
  <si>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</si>
  <si>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</si>
  <si>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</si>
  <si>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</si>
  <si>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</si>
  <si>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</si>
  <si>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</si>
  <si>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</si>
  <si>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</si>
  <si>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</si>
  <si>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</si>
  <si>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</si>
  <si>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</si>
  <si>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</si>
  <si>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</si>
  <si>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</si>
  <si>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</si>
  <si>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</si>
  <si>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</si>
  <si>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</si>
  <si>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</si>
  <si>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</si>
  <si>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</si>
  <si>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</si>
  <si>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</si>
  <si>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</si>
  <si>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</si>
  <si>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</si>
  <si>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</si>
  <si>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</si>
  <si>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</si>
  <si>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</si>
  <si>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</si>
  <si>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</si>
  <si>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</si>
  <si>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</si>
  <si>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</si>
  <si>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</si>
  <si>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</si>
  <si>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</si>
  <si>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</si>
  <si>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</si>
  <si>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</si>
  <si>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</si>
  <si>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</si>
  <si>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</si>
  <si>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</si>
  <si>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</si>
  <si>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</si>
  <si>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</si>
  <si>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</si>
  <si>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</si>
  <si>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</si>
  <si>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</si>
  <si>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</si>
  <si>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</si>
  <si>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</si>
  <si>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</si>
  <si>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</si>
  <si>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</si>
  <si>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</si>
  <si>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</si>
  <si>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</si>
  <si>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</si>
  <si>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</si>
  <si>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</si>
  <si>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</si>
  <si>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</si>
  <si>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</si>
  <si>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</si>
  <si>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</si>
  <si>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</si>
  <si>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</si>
  <si>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</si>
  <si>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</si>
  <si>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</si>
  <si>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</si>
  <si>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</si>
  <si>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</si>
  <si>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</si>
  <si>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</si>
  <si>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</si>
  <si>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</si>
  <si>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</si>
  <si>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</si>
  <si>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</si>
  <si>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</si>
  <si>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</si>
  <si>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</si>
  <si>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</si>
  <si>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</si>
  <si>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</si>
  <si>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</si>
  <si>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</si>
  <si>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</si>
  <si>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</si>
  <si>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</si>
  <si>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</si>
  <si>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</si>
  <si>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</si>
  <si>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</si>
  <si>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</si>
  <si>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</si>
  <si>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</si>
  <si>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</si>
  <si>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</si>
  <si>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</si>
  <si>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</si>
  <si>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</si>
  <si>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</si>
  <si>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</si>
  <si>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</si>
  <si>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</si>
  <si>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</si>
  <si>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</si>
  <si>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</si>
  <si>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</si>
  <si>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</si>
  <si>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</si>
  <si>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</si>
  <si>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</si>
  <si>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</si>
  <si>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</si>
  <si>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</si>
  <si>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</si>
  <si>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</si>
  <si>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</si>
  <si>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</si>
  <si>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</si>
  <si>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</si>
  <si>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</si>
  <si>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</si>
  <si>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</si>
  <si>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</si>
  <si>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</si>
  <si>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</si>
  <si>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</si>
  <si>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</si>
  <si>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</si>
  <si>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</si>
  <si>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</si>
  <si>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</si>
  <si>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</si>
  <si>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</si>
  <si>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</si>
  <si>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</si>
  <si>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</si>
  <si>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</si>
  <si>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</si>
  <si>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</si>
  <si>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</si>
  <si>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</si>
  <si>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</si>
  <si>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</si>
  <si>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</si>
  <si>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</si>
  <si>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</si>
  <si>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</si>
  <si>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</si>
  <si>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</si>
  <si>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</si>
  <si>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</si>
  <si>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</si>
  <si>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</si>
  <si>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</si>
  <si>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</si>
  <si>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</si>
  <si>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</si>
  <si>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</si>
  <si>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</si>
  <si>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</si>
  <si>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</si>
  <si>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</si>
  <si>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</si>
  <si>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</si>
  <si>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</si>
  <si>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</si>
  <si>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</si>
  <si>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</si>
  <si>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</si>
  <si>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</si>
  <si>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</si>
  <si>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</si>
  <si>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</si>
  <si>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</si>
  <si>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</si>
  <si>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</si>
  <si>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</si>
  <si>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</si>
  <si>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</si>
  <si>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</si>
  <si>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</si>
  <si>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</si>
  <si>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</si>
  <si>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</si>
  <si>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</si>
  <si>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</si>
  <si>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</si>
  <si>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</si>
  <si>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</si>
  <si>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</si>
  <si>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</si>
  <si>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</si>
  <si>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</si>
  <si>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</si>
  <si>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</si>
  <si>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</si>
  <si>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</si>
  <si>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</si>
  <si>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</si>
  <si>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</si>
  <si>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</si>
  <si>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</si>
  <si>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</si>
  <si>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</si>
  <si>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</si>
  <si>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</si>
  <si>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</si>
  <si>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</si>
  <si>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</si>
  <si>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</si>
  <si>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</si>
  <si>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</si>
  <si>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</si>
  <si>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</si>
  <si>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</si>
  <si>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</si>
  <si>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</si>
  <si>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</si>
  <si>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</si>
  <si>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</si>
  <si>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</si>
  <si>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</si>
  <si>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</si>
  <si>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</si>
  <si>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</si>
  <si>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</si>
  <si>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</si>
  <si>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</si>
  <si>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</si>
  <si>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</si>
  <si>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</si>
  <si>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</si>
  <si>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</si>
  <si>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</si>
  <si>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</si>
  <si>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</si>
  <si>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</si>
  <si>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</si>
  <si>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</si>
  <si>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</si>
  <si>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</si>
  <si>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</si>
  <si>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</si>
  <si>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</si>
  <si>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</si>
  <si>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</si>
  <si>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</si>
  <si>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</si>
  <si>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</si>
  <si>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</si>
  <si>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</si>
  <si>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</si>
  <si>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</si>
  <si>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</si>
  <si>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</si>
  <si>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</si>
  <si>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</si>
  <si>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</si>
  <si>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</si>
  <si>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</si>
  <si>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</si>
  <si>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</si>
  <si>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</si>
  <si>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</si>
  <si>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</si>
  <si>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</si>
  <si>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</si>
  <si>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</si>
  <si>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</si>
  <si>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</si>
  <si>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</si>
  <si>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</si>
  <si>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</si>
  <si>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</si>
  <si>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</si>
  <si>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</si>
  <si>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</si>
  <si>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</si>
  <si>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</si>
  <si>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</si>
  <si>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</si>
  <si>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</si>
  <si>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</si>
  <si>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</si>
  <si>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</si>
  <si>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</si>
  <si>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</si>
  <si>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</si>
  <si>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</si>
  <si>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</si>
  <si>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</si>
  <si>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</si>
  <si>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</si>
  <si>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</si>
  <si>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</si>
  <si>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</si>
  <si>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</si>
  <si>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</si>
  <si>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</si>
  <si>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</si>
  <si>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</si>
  <si>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</si>
  <si>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</si>
  <si>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</si>
  <si>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</si>
  <si>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</si>
  <si>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</si>
  <si>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</si>
  <si>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</si>
  <si>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</si>
  <si>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</si>
  <si>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</si>
  <si>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</si>
  <si>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</si>
  <si>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</si>
  <si>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</si>
  <si>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</si>
  <si>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</si>
  <si>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</si>
  <si>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</si>
  <si>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</si>
  <si>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</si>
  <si>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</si>
  <si>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</si>
  <si>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</si>
  <si>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</si>
  <si>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</si>
  <si>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</si>
  <si>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</si>
  <si>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</si>
  <si>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</si>
  <si>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</si>
  <si>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</si>
  <si>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</si>
  <si>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</si>
  <si>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</si>
  <si>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</si>
  <si>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</si>
  <si>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</si>
  <si>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</si>
  <si>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</si>
  <si>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</si>
  <si>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</si>
  <si>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</si>
  <si>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</si>
  <si>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</si>
  <si>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</si>
  <si>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</si>
  <si>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</si>
  <si>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</si>
  <si>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</si>
  <si>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</si>
  <si>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</si>
  <si>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</si>
  <si>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</si>
  <si>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</si>
  <si>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</si>
  <si>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</si>
  <si>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</si>
  <si>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</si>
  <si>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</si>
  <si>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</si>
  <si>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</si>
  <si>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</si>
  <si>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</si>
  <si>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</si>
  <si>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</si>
  <si>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</si>
  <si>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</si>
  <si>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</si>
  <si>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</si>
  <si>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</si>
  <si>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</si>
  <si>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</si>
  <si>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</si>
  <si>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</si>
  <si>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</si>
  <si>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</si>
  <si>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</si>
  <si>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</si>
  <si>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</si>
  <si>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</si>
  <si>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</si>
  <si>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</si>
  <si>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</si>
  <si>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</si>
  <si>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</si>
  <si>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</si>
  <si>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</si>
  <si>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</si>
  <si>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</si>
  <si>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</si>
  <si>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</si>
  <si>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</si>
  <si>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</si>
  <si>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</si>
  <si>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</si>
  <si>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</si>
  <si>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</si>
  <si>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</si>
  <si>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</si>
  <si>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</si>
  <si>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</si>
  <si>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</si>
  <si>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</si>
  <si>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</si>
  <si>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</si>
  <si>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</si>
  <si>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</si>
  <si>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</si>
  <si>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</si>
  <si>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</si>
  <si>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</si>
  <si>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</si>
  <si>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</si>
  <si>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</si>
  <si>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</si>
  <si>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</si>
  <si>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</si>
  <si>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</si>
  <si>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</si>
  <si>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</si>
  <si>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</si>
  <si>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</si>
  <si>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</si>
  <si>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</si>
  <si>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</si>
  <si>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</si>
  <si>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</si>
  <si>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</si>
  <si>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</si>
  <si>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</si>
  <si>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</si>
  <si>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</si>
  <si>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</si>
  <si>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</si>
  <si>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</si>
  <si>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</si>
  <si>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</si>
  <si>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</si>
  <si>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</si>
  <si>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</si>
  <si>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</si>
  <si>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</si>
  <si>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</si>
  <si>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</si>
  <si>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</si>
  <si>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</si>
  <si>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</si>
  <si>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</si>
  <si>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</si>
  <si>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</si>
  <si>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</si>
  <si>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</si>
  <si>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</si>
  <si>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</si>
  <si>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</si>
  <si>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</si>
  <si>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</si>
  <si>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</si>
  <si>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</si>
  <si>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</si>
  <si>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</si>
  <si>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</si>
  <si>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</si>
  <si>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</si>
  <si>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</si>
  <si>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</si>
  <si>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</si>
  <si>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</si>
  <si>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</si>
  <si>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</si>
  <si>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</si>
  <si>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</si>
  <si>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</si>
  <si>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</si>
  <si>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</si>
  <si>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</si>
  <si>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</si>
  <si>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</si>
  <si>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</si>
  <si>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</si>
  <si>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</si>
  <si>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</si>
  <si>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</si>
  <si>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</si>
  <si>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</si>
  <si>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</si>
  <si>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</si>
  <si>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</si>
  <si>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</si>
  <si>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</si>
  <si>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</si>
  <si>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</si>
  <si>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</si>
  <si>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</si>
  <si>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</si>
  <si>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</si>
  <si>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</si>
  <si>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</si>
  <si>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</si>
  <si>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</si>
  <si>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</si>
  <si>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</si>
  <si>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</si>
  <si>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</si>
  <si>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</si>
  <si>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</si>
  <si>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</si>
  <si>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</si>
  <si>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</si>
  <si>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</si>
  <si>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</si>
  <si>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</si>
  <si>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</si>
  <si>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</si>
  <si>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</si>
  <si>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</si>
  <si>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</si>
  <si>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</si>
  <si>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</si>
  <si>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</si>
  <si>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</si>
  <si>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</si>
  <si>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</si>
  <si>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</si>
  <si>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</si>
  <si>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</si>
  <si>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</si>
  <si>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</si>
  <si>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</si>
  <si>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</si>
  <si>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</si>
  <si>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</si>
  <si>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</si>
  <si>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</si>
  <si>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</si>
  <si>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</si>
  <si>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</si>
  <si>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</si>
  <si>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</si>
  <si>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</si>
  <si>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</si>
  <si>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</si>
  <si>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</si>
  <si>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</si>
  <si>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</si>
  <si>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</si>
  <si>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</si>
  <si>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</si>
  <si>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</si>
  <si>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</si>
  <si>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</si>
  <si>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</si>
  <si>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</si>
  <si>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</si>
  <si>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</si>
  <si>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</si>
  <si>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</si>
  <si>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</si>
  <si>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</si>
  <si>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</si>
  <si>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</si>
  <si>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</si>
  <si>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</si>
  <si>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</si>
  <si>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</si>
  <si>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</si>
  <si>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</si>
  <si>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</si>
  <si>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</si>
  <si>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</si>
  <si>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</si>
  <si>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</si>
  <si>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</si>
  <si>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</si>
  <si>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</si>
  <si>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</si>
  <si>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</si>
  <si>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</si>
  <si>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</si>
  <si>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</si>
  <si>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</si>
  <si>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</si>
  <si>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</si>
  <si>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</si>
  <si>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</si>
  <si>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</si>
  <si>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</si>
  <si>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</si>
  <si>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</si>
  <si>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</si>
  <si>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</si>
  <si>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</si>
  <si>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</si>
  <si>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</si>
  <si>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</si>
  <si>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</si>
  <si>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</si>
  <si>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</si>
  <si>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</si>
  <si>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</si>
  <si>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</si>
  <si>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</si>
  <si>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</si>
  <si>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</si>
  <si>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</si>
  <si>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</si>
  <si>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</si>
  <si>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</si>
  <si>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</si>
  <si>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</si>
  <si>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</si>
  <si>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</si>
  <si>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</si>
  <si>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</si>
  <si>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</si>
  <si>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</si>
  <si>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</si>
  <si>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</si>
  <si>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</si>
  <si>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</si>
  <si>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</si>
  <si>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</si>
  <si>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</si>
  <si>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</si>
  <si>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</si>
  <si>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</si>
  <si>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</si>
  <si>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</si>
  <si>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</si>
  <si>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</si>
  <si>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</si>
  <si>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</si>
  <si>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</si>
  <si>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</si>
  <si>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</si>
  <si>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</si>
  <si>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</si>
  <si>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</si>
  <si>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</si>
  <si>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</si>
  <si>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</si>
  <si>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</si>
  <si>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</si>
  <si>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</si>
  <si>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</si>
  <si>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</si>
  <si>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</si>
  <si>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</si>
  <si>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</si>
  <si>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</si>
  <si>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</si>
  <si>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</si>
  <si>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</si>
  <si>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</si>
  <si>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</si>
  <si>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</si>
  <si>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</si>
  <si>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</si>
  <si>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</si>
  <si>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</si>
  <si>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</si>
  <si>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</si>
  <si>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</si>
  <si>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</si>
  <si>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</si>
  <si>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</si>
  <si>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</si>
  <si>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</si>
  <si>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</si>
  <si>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</si>
  <si>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</si>
  <si>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</si>
  <si>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</si>
  <si>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</si>
  <si>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</si>
  <si>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</si>
  <si>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</si>
  <si>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</si>
  <si>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</si>
  <si>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</si>
  <si>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</si>
  <si>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</si>
  <si>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</si>
  <si>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</si>
  <si>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</si>
  <si>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</si>
  <si>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</si>
  <si>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</si>
  <si>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</si>
  <si>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</si>
  <si>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</si>
  <si>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</si>
  <si>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</si>
  <si>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</si>
  <si>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</si>
  <si>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</si>
  <si>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</si>
  <si>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</si>
  <si>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</si>
  <si>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</si>
  <si>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</si>
  <si>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</si>
  <si>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</si>
  <si>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</si>
  <si>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</si>
  <si>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</si>
  <si>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</si>
  <si>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</si>
  <si>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</si>
  <si>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</si>
  <si>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</si>
  <si>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</si>
  <si>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</si>
  <si>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</si>
  <si>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</si>
  <si>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</si>
  <si>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</si>
  <si>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</si>
  <si>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</si>
  <si>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</si>
  <si>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</si>
  <si>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</si>
  <si>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</si>
  <si>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</si>
  <si>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</si>
  <si>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</si>
  <si>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</si>
  <si>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</si>
  <si>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</si>
  <si>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</si>
  <si>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</si>
  <si>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</si>
  <si>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</si>
  <si>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</si>
  <si>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</si>
  <si>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</si>
  <si>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</si>
  <si>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</si>
  <si>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</si>
  <si>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</si>
  <si>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</si>
  <si>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</si>
  <si>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</si>
  <si>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</si>
  <si>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</si>
  <si>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</si>
  <si>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</si>
  <si>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</si>
  <si>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</si>
  <si>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</si>
  <si>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</si>
  <si>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</si>
  <si>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</si>
  <si>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</si>
  <si>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</si>
  <si>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</si>
  <si>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</si>
  <si>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</si>
  <si>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</si>
  <si>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</si>
  <si>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</si>
  <si>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</si>
  <si>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</si>
  <si>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</si>
  <si>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</si>
  <si>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</si>
  <si>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</si>
  <si>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</si>
  <si>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</si>
  <si>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</si>
  <si>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</si>
  <si>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</si>
  <si>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</si>
  <si>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</si>
  <si>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</si>
  <si>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</si>
  <si>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</si>
  <si>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</si>
  <si>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</si>
  <si>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</si>
  <si>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</si>
  <si>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</si>
  <si>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</si>
  <si>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</si>
  <si>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</si>
  <si>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</si>
  <si>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</si>
  <si>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</si>
  <si>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</si>
  <si>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</si>
  <si>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</si>
  <si>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</si>
  <si>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</si>
  <si>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</si>
  <si>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</si>
  <si>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</si>
  <si>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</si>
  <si>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</si>
  <si>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</si>
  <si>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</si>
  <si>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</si>
  <si>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</si>
  <si>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</si>
  <si>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</si>
  <si>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</si>
  <si>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</si>
  <si>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</si>
  <si>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</si>
  <si>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</si>
  <si>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</si>
  <si>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</si>
  <si>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</si>
  <si>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</si>
  <si>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</si>
  <si>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</si>
  <si>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</si>
  <si>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</si>
  <si>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</si>
  <si>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</si>
  <si>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</si>
  <si>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</si>
  <si>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</si>
  <si>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</si>
  <si>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</si>
  <si>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</si>
  <si>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</si>
  <si>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</si>
  <si>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</si>
  <si>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</si>
  <si>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</si>
  <si>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</si>
  <si>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</si>
  <si>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</si>
  <si>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</si>
  <si>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</si>
  <si>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</si>
  <si>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</si>
  <si>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</si>
  <si>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</si>
  <si>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</si>
  <si>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</si>
  <si>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</si>
  <si>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</si>
  <si>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</si>
  <si>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</si>
  <si>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</si>
  <si>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</si>
  <si>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</si>
  <si>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</si>
  <si>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</si>
  <si>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</si>
  <si>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</si>
  <si>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</si>
  <si>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</si>
  <si>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</si>
  <si>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</si>
  <si>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</si>
  <si>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</si>
  <si>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</si>
  <si>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</si>
  <si>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</si>
  <si>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</si>
  <si>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</si>
  <si>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</si>
  <si>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</si>
  <si>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</si>
  <si>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</si>
  <si>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</si>
  <si>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</si>
  <si>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</si>
  <si>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</si>
  <si>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</si>
  <si>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</si>
  <si>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</si>
  <si>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</si>
  <si>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</si>
  <si>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</si>
  <si>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</si>
  <si>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</si>
  <si>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</si>
  <si>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</si>
  <si>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</si>
  <si>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</si>
  <si>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</si>
  <si>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</si>
  <si>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</si>
  <si>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</si>
  <si>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</si>
  <si>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</si>
  <si>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</si>
  <si>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</si>
  <si>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</si>
  <si>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</si>
  <si>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</si>
  <si>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</si>
  <si>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</si>
  <si>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</si>
  <si>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</si>
  <si>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</si>
  <si>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</si>
  <si>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</si>
  <si>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</si>
  <si>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</si>
  <si>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</si>
  <si>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</si>
  <si>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</si>
  <si>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</si>
  <si>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</si>
  <si>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</si>
  <si>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</si>
  <si>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</si>
  <si>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</si>
  <si>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</si>
  <si>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</si>
  <si>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</si>
  <si>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</si>
  <si>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</si>
  <si>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</si>
  <si>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</si>
  <si>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</si>
  <si>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</si>
  <si>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</si>
  <si>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</si>
  <si>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</si>
  <si>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</si>
  <si>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</si>
  <si>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</si>
  <si>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</si>
  <si>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</si>
  <si>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</si>
  <si>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</si>
  <si>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</si>
  <si>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</si>
  <si>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</si>
  <si>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</si>
  <si>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</si>
  <si>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</si>
  <si>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</si>
  <si>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</si>
  <si>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</si>
  <si>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</si>
  <si>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</si>
  <si>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</si>
  <si>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</si>
  <si>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</si>
  <si>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</si>
  <si>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</si>
  <si>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</si>
  <si>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</si>
  <si>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</si>
  <si>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</si>
  <si>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</si>
  <si>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</si>
  <si>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</si>
  <si>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</si>
  <si>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</si>
  <si>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</si>
  <si>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</si>
  <si>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</si>
  <si>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</si>
  <si>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</si>
  <si>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</si>
  <si>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</si>
  <si>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</si>
  <si>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</si>
  <si>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</si>
  <si>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</si>
  <si>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</si>
  <si>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</si>
  <si>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</si>
  <si>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</si>
  <si>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</si>
  <si>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</si>
  <si>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</si>
  <si>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</si>
  <si>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</si>
  <si>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</si>
  <si>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</si>
  <si>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</si>
  <si>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</si>
  <si>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</si>
  <si>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</si>
  <si>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</si>
  <si>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</si>
  <si>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</si>
  <si>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</si>
  <si>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</si>
  <si>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</si>
  <si>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</si>
  <si>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</si>
  <si>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</si>
  <si>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</si>
  <si>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</si>
  <si>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</si>
  <si>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</si>
  <si>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</si>
  <si>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</si>
  <si>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</si>
  <si>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</si>
  <si>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</si>
  <si>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</si>
  <si>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</si>
  <si>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</si>
  <si>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</si>
  <si>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</si>
  <si>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</si>
  <si>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</si>
  <si>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</si>
  <si>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</si>
  <si>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</si>
  <si>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</si>
  <si>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</si>
  <si>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</si>
  <si>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</si>
  <si>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</si>
  <si>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</si>
  <si>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</si>
  <si>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</si>
  <si>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</si>
  <si>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</si>
  <si>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</si>
  <si>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</si>
  <si>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</si>
  <si>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</si>
  <si>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</si>
  <si>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</si>
  <si>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</si>
  <si>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</si>
  <si>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</si>
  <si>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</si>
  <si>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</si>
  <si>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</si>
  <si>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</si>
  <si>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</si>
  <si>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</si>
  <si>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</si>
  <si>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</si>
  <si>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</si>
  <si>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</si>
  <si>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</si>
  <si>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</si>
  <si>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</si>
  <si>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</si>
  <si>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</si>
  <si>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</si>
  <si>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</si>
  <si>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</si>
  <si>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</si>
  <si>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</si>
  <si>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</si>
  <si>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</si>
  <si>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</si>
  <si>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</si>
  <si>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</si>
  <si>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</si>
  <si>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</si>
  <si>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</si>
  <si>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</si>
  <si>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</si>
  <si>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</si>
  <si>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</si>
  <si>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</si>
  <si>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</si>
  <si>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</si>
  <si>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</si>
  <si>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</si>
  <si>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</si>
  <si>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</si>
  <si>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</si>
  <si>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</si>
  <si>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</si>
  <si>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</si>
  <si>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</si>
  <si>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</si>
  <si>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</si>
  <si>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</si>
  <si>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</si>
  <si>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</si>
  <si>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</si>
  <si>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</si>
  <si>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</si>
  <si>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</si>
  <si>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</si>
  <si>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</si>
  <si>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</si>
  <si>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</si>
  <si>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</si>
  <si>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</si>
  <si>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</si>
  <si>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</si>
  <si>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</si>
  <si>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</si>
  <si>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</si>
  <si>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</si>
  <si>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</si>
  <si>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</si>
  <si>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</si>
  <si>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</si>
  <si>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</si>
  <si>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</si>
  <si>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</si>
  <si>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</si>
  <si>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</si>
  <si>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</si>
  <si>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</si>
  <si>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</si>
  <si>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</si>
  <si>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</si>
  <si>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</si>
  <si>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</si>
  <si>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</si>
  <si>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</si>
  <si>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</si>
  <si>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</si>
  <si>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</si>
  <si>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</si>
  <si>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</si>
  <si>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</si>
  <si>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</si>
  <si>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</si>
  <si>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</si>
  <si>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</si>
  <si>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</si>
  <si>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</si>
  <si>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</si>
  <si>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</si>
  <si>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</si>
  <si>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</si>
  <si>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</si>
  <si>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</si>
  <si>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</si>
  <si>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</si>
  <si>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</si>
  <si>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</si>
  <si>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</si>
  <si>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</si>
  <si>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</si>
  <si>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</si>
  <si>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</si>
  <si>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</si>
  <si>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</si>
  <si>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</si>
  <si>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</si>
  <si>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</si>
  <si>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</si>
  <si>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</si>
  <si>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</si>
  <si>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</si>
  <si>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</si>
  <si>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</si>
  <si>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</si>
  <si>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</si>
  <si>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</si>
  <si>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</si>
  <si>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</si>
  <si>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</si>
  <si>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</si>
  <si>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</si>
  <si>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</si>
  <si>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</si>
  <si>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</si>
  <si>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</si>
  <si>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</si>
  <si>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</si>
  <si>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</si>
  <si>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</si>
  <si>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</si>
  <si>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</si>
  <si>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</si>
  <si>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</si>
  <si>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</si>
  <si>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</si>
  <si>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</si>
  <si>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</si>
  <si>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</si>
  <si>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</si>
  <si>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</si>
  <si>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</si>
  <si>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</si>
  <si>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</si>
  <si>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</si>
  <si>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</si>
  <si>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</si>
  <si>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</si>
  <si>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</si>
  <si>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</si>
  <si>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</si>
  <si>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</si>
  <si>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</si>
  <si>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</si>
  <si>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</si>
  <si>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</si>
  <si>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</si>
  <si>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</si>
  <si>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</si>
  <si>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</si>
  <si>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</si>
  <si>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</si>
  <si>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</si>
  <si>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</si>
  <si>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</si>
  <si>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</si>
  <si>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</si>
  <si>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</si>
  <si>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</si>
  <si>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</si>
  <si>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</si>
  <si>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</si>
  <si>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</si>
  <si>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</si>
  <si>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</si>
  <si>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</si>
  <si>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</si>
  <si>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</si>
  <si>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</si>
  <si>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</si>
  <si>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</si>
  <si>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</si>
  <si>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</si>
  <si>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</si>
  <si>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</si>
  <si>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</si>
  <si>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</si>
  <si>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</si>
  <si>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</si>
  <si>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</si>
  <si>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</si>
  <si>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</si>
  <si>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</si>
  <si>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</si>
  <si>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</si>
  <si>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</si>
  <si>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</si>
  <si>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</si>
  <si>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</si>
  <si>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</si>
  <si>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</si>
  <si>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</si>
  <si>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</si>
  <si>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</si>
  <si>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</si>
  <si>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</si>
  <si>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</si>
  <si>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</si>
  <si>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</si>
  <si>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</si>
  <si>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</si>
  <si>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</si>
  <si>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</si>
  <si>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</si>
  <si>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</si>
  <si>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</si>
  <si>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</si>
  <si>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</si>
  <si>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</si>
  <si>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</si>
  <si>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</si>
  <si>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</si>
  <si>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</si>
  <si>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</si>
  <si>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</si>
  <si>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</si>
  <si>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</si>
  <si>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</si>
  <si>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</si>
  <si>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</si>
  <si>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</si>
  <si>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</si>
  <si>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</si>
  <si>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</si>
  <si>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</si>
  <si>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</si>
  <si>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</si>
  <si>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</si>
  <si>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</si>
  <si>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</si>
  <si>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</si>
  <si>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</si>
  <si>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</si>
  <si>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</si>
  <si>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</si>
  <si>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</si>
  <si>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</si>
  <si>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</si>
  <si>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</si>
  <si>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</si>
  <si>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</si>
  <si>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</si>
  <si>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</si>
  <si>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</si>
  <si>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</si>
  <si>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</si>
  <si>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</si>
  <si>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</si>
  <si>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</si>
  <si>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</si>
  <si>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</si>
  <si>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</si>
  <si>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</si>
  <si>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</si>
  <si>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</si>
  <si>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</si>
  <si>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</si>
  <si>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</si>
  <si>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</si>
  <si>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</si>
  <si>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</si>
  <si>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</si>
  <si>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</si>
  <si>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</si>
  <si>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</si>
  <si>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</si>
  <si>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</si>
  <si>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</si>
  <si>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</si>
  <si>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</si>
  <si>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</si>
  <si>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</si>
  <si>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</si>
  <si>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</si>
  <si>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</si>
  <si>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</si>
  <si>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</si>
  <si>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</si>
  <si>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</si>
  <si>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</si>
  <si>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</si>
  <si>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</si>
  <si>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</si>
  <si>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</si>
  <si>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</si>
  <si>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</si>
  <si>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</si>
  <si>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</si>
  <si>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</si>
  <si>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</si>
  <si>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</si>
  <si>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</si>
  <si>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</si>
  <si>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</si>
  <si>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</si>
  <si>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</si>
  <si>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</si>
  <si>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</si>
  <si>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</si>
  <si>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</si>
  <si>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</si>
  <si>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</si>
  <si>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</si>
  <si>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</si>
  <si>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</si>
  <si>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</si>
  <si>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</si>
  <si>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</si>
  <si>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</si>
  <si>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</si>
  <si>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</si>
  <si>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</si>
  <si>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</si>
  <si>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</si>
  <si>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</si>
  <si>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</si>
  <si>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</si>
  <si>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</si>
  <si>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</si>
  <si>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</si>
  <si>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</si>
  <si>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</si>
  <si>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</si>
  <si>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</si>
  <si>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</si>
  <si>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</si>
  <si>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</si>
  <si>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</si>
  <si>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</si>
  <si>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</si>
  <si>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</si>
  <si>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</si>
  <si>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</si>
  <si>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</si>
  <si>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</si>
  <si>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</si>
  <si>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</si>
  <si>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</si>
  <si>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</si>
  <si>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</si>
  <si>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</si>
  <si>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</si>
  <si>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</si>
  <si>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</si>
  <si>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</si>
  <si>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</si>
  <si>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</si>
  <si>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</si>
  <si>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</si>
  <si>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</si>
  <si>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</si>
  <si>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</si>
  <si>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</si>
  <si>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</si>
  <si>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</si>
  <si>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</si>
  <si>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</si>
  <si>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</si>
  <si>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</si>
  <si>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</si>
  <si>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</si>
  <si>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</si>
  <si>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</si>
  <si>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</si>
  <si>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</si>
  <si>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</si>
  <si>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</si>
  <si>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</si>
  <si>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</si>
  <si>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</si>
  <si>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</si>
  <si>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</si>
  <si>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</si>
  <si>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</si>
  <si>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</si>
  <si>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</si>
  <si>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</si>
  <si>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</si>
  <si>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</si>
  <si>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</si>
  <si>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</si>
  <si>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</si>
  <si>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</si>
  <si>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</si>
  <si>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</si>
  <si>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</si>
  <si>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</si>
  <si>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</si>
  <si>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</si>
  <si>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</si>
  <si>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</si>
  <si>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</si>
  <si>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</si>
  <si>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</si>
  <si>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</si>
  <si>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</si>
  <si>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</si>
  <si>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</si>
  <si>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</si>
  <si>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</si>
  <si>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</si>
  <si>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</si>
  <si>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</si>
  <si>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</si>
  <si>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</si>
  <si>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</si>
  <si>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</si>
  <si>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</si>
  <si>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</si>
  <si>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</si>
  <si>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</si>
  <si>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</si>
  <si>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</si>
  <si>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</si>
  <si>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</si>
  <si>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</si>
  <si>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</si>
  <si>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</si>
  <si>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</si>
  <si>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</si>
  <si>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</si>
  <si>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</si>
  <si>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</si>
  <si>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</si>
  <si>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</si>
  <si>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</si>
  <si>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</si>
  <si>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</si>
  <si>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</si>
  <si>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</si>
  <si>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</si>
  <si>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</si>
  <si>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</si>
  <si>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</si>
  <si>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</si>
  <si>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</si>
  <si>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</si>
  <si>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</si>
  <si>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</si>
  <si>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</si>
  <si>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</si>
  <si>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</si>
  <si>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</si>
  <si>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</si>
  <si>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</si>
  <si>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</si>
  <si>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</si>
  <si>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</si>
  <si>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</si>
  <si>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</si>
  <si>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</si>
  <si>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</si>
  <si>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</si>
  <si>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</si>
  <si>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</si>
  <si>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</si>
  <si>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</si>
  <si>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</si>
  <si>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</si>
  <si>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</si>
  <si>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</si>
  <si>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</si>
  <si>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</si>
  <si>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</si>
  <si>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</si>
  <si>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</si>
  <si>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</si>
  <si>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</si>
  <si>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</si>
  <si>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</si>
  <si>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</si>
  <si>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</si>
  <si>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</si>
  <si>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</si>
  <si>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</si>
  <si>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</si>
  <si>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</si>
  <si>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</si>
  <si>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</si>
  <si>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</si>
  <si>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</si>
  <si>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</si>
  <si>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</si>
  <si>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</si>
  <si>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</si>
  <si>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</si>
  <si>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</si>
  <si>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</si>
  <si>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</si>
  <si>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</si>
  <si>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</si>
  <si>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</si>
  <si>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</si>
  <si>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</si>
  <si>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</si>
  <si>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</si>
  <si>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</si>
  <si>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</si>
  <si>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</si>
  <si>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</si>
  <si>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</si>
  <si>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</si>
  <si>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</si>
  <si>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</si>
  <si>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</si>
  <si>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</si>
  <si>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</si>
  <si>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</si>
  <si>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</si>
  <si>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</si>
  <si>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</si>
  <si>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</si>
  <si>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</si>
  <si>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</si>
  <si>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</si>
  <si>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</si>
  <si>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</si>
  <si>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</si>
  <si>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</si>
  <si>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</si>
  <si>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</si>
  <si>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</si>
  <si>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</si>
  <si>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</si>
  <si>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</si>
  <si>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</si>
  <si>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</si>
  <si>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</si>
  <si>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</si>
  <si>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</si>
  <si>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</si>
  <si>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</si>
  <si>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</si>
  <si>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</si>
  <si>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</si>
  <si>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</si>
  <si>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</si>
  <si>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</si>
  <si>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</si>
  <si>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</si>
  <si>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</si>
  <si>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</si>
  <si>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</si>
  <si>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</si>
  <si>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</si>
  <si>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</si>
  <si>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</si>
  <si>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</si>
  <si>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</si>
  <si>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</si>
  <si>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</si>
  <si>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</si>
  <si>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</si>
  <si>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</si>
  <si>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</si>
  <si>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</si>
  <si>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</si>
  <si>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</si>
  <si>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</si>
  <si>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</si>
  <si>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</si>
  <si>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</si>
  <si>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</si>
  <si>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</si>
  <si>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</si>
  <si>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</si>
  <si>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</si>
  <si>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</si>
  <si>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</si>
  <si>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</si>
  <si>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</si>
  <si>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</si>
  <si>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</si>
  <si>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</si>
  <si>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</si>
  <si>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</si>
  <si>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</si>
  <si>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</si>
  <si>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</si>
  <si>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</si>
  <si>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</si>
  <si>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</si>
  <si>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</si>
  <si>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</si>
  <si>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</si>
  <si>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</si>
  <si>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</si>
  <si>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</si>
  <si>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</si>
  <si>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</si>
  <si>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</si>
  <si>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</si>
  <si>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</si>
  <si>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</si>
  <si>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</si>
  <si>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</si>
  <si>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</si>
  <si>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</si>
  <si>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</si>
  <si>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</si>
  <si>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</si>
  <si>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</si>
  <si>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</si>
  <si>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</si>
  <si>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</si>
  <si>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</si>
  <si>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</si>
  <si>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</si>
  <si>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</si>
  <si>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</si>
  <si>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</si>
  <si>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</si>
  <si>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</si>
  <si>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</si>
  <si>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</si>
  <si>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</si>
  <si>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</si>
  <si>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</si>
  <si>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</si>
  <si>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</si>
  <si>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</si>
  <si>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</si>
  <si>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</si>
  <si>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</si>
  <si>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</si>
  <si>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</si>
  <si>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</si>
  <si>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</si>
  <si>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</si>
  <si>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</si>
  <si>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</si>
  <si>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</si>
  <si>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</si>
  <si>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</si>
  <si>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</si>
  <si>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</si>
  <si>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</si>
  <si>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</si>
  <si>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</si>
  <si>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</si>
  <si>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</si>
  <si>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</si>
  <si>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</si>
  <si>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</si>
  <si>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</si>
  <si>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</si>
  <si>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</si>
  <si>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</si>
  <si>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</si>
  <si>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</si>
  <si>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</si>
  <si>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</si>
  <si>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</si>
  <si>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</si>
  <si>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</si>
  <si>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</si>
  <si>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</si>
  <si>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</si>
  <si>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</si>
  <si>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</si>
  <si>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</si>
  <si>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</si>
  <si>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</si>
  <si>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</si>
  <si>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</si>
  <si>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</si>
  <si>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</si>
  <si>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</si>
  <si>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</si>
  <si>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</si>
  <si>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</si>
  <si>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</si>
  <si>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</si>
  <si>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</si>
  <si>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</si>
  <si>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</si>
  <si>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</si>
  <si>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</si>
  <si>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</si>
  <si>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</si>
  <si>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</si>
  <si>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</si>
  <si>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</si>
  <si>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</si>
  <si>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</si>
  <si>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</si>
  <si>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</si>
  <si>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</si>
  <si>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</si>
  <si>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</si>
  <si>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</si>
  <si>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</si>
  <si>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</si>
  <si>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</si>
  <si>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</si>
  <si>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</si>
  <si>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</si>
  <si>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</si>
  <si>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</si>
  <si>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</si>
  <si>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</si>
  <si>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</si>
  <si>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</si>
  <si>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</si>
  <si>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</si>
  <si>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</si>
  <si>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</si>
  <si>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</si>
  <si>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</si>
  <si>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</si>
  <si>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</si>
  <si>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</si>
  <si>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</si>
  <si>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</si>
  <si>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</si>
  <si>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</si>
  <si>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</si>
  <si>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</si>
  <si>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</si>
  <si>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</si>
  <si>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</si>
  <si>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</si>
  <si>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</si>
  <si>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</si>
  <si>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</si>
  <si>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</si>
  <si>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</si>
  <si>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</si>
  <si>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</si>
  <si>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</si>
  <si>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</si>
  <si>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</si>
  <si>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</si>
  <si>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</si>
  <si>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</si>
  <si>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</si>
  <si>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</si>
  <si>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</si>
  <si>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</si>
  <si>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</si>
  <si>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</si>
  <si>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</si>
  <si>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</si>
  <si>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</si>
  <si>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</si>
  <si>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</si>
  <si>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</si>
  <si>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</si>
  <si>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</si>
  <si>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</si>
  <si>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</si>
  <si>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</si>
  <si>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</si>
  <si>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</si>
  <si>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</si>
  <si>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</si>
  <si>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</si>
  <si>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</si>
  <si>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</si>
  <si>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</si>
  <si>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</si>
  <si>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</si>
  <si>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</si>
  <si>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</si>
  <si>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</si>
  <si>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</si>
  <si>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</si>
  <si>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</si>
  <si>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</si>
  <si>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</si>
  <si>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</si>
  <si>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</si>
  <si>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</si>
  <si>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</si>
  <si>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</si>
  <si>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</si>
  <si>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</si>
  <si>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</si>
  <si>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</si>
  <si>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</si>
  <si>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</si>
  <si>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</si>
  <si>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</si>
  <si>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</si>
  <si>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</si>
  <si>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</si>
  <si>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</si>
  <si>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</si>
  <si>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</si>
  <si>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</si>
  <si>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</si>
  <si>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</si>
  <si>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</si>
  <si>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</si>
  <si>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</si>
  <si>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</si>
  <si>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</si>
  <si>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</si>
  <si>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</si>
  <si>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</si>
  <si>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</si>
  <si>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</si>
  <si>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</si>
  <si>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</si>
  <si>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</si>
  <si>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</si>
  <si>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</si>
  <si>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</si>
  <si>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</si>
  <si>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</si>
  <si>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</si>
  <si>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</si>
  <si>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</si>
  <si>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</si>
  <si>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</si>
  <si>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</si>
  <si>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</si>
  <si>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</si>
  <si>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</si>
  <si>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</si>
  <si>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</si>
  <si>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</si>
  <si>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</si>
  <si>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</si>
  <si>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</si>
  <si>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</si>
  <si>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</si>
  <si>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</si>
  <si>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</si>
  <si>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</si>
  <si>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</si>
  <si>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</si>
  <si>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</si>
  <si>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</si>
  <si>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</si>
  <si>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</si>
  <si>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</si>
  <si>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</si>
  <si>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</si>
  <si>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</si>
  <si>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</si>
  <si>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</si>
  <si>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</si>
  <si>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</si>
  <si>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</si>
  <si>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</si>
  <si>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</si>
  <si>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</si>
  <si>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</si>
  <si>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</si>
  <si>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</si>
  <si>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</si>
  <si>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</si>
  <si>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</si>
  <si>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</si>
  <si>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</si>
  <si>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</si>
  <si>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</si>
  <si>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</si>
  <si>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</si>
  <si>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</si>
  <si>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</si>
  <si>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</si>
  <si>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</si>
  <si>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</si>
  <si>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</si>
  <si>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</si>
  <si>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</si>
  <si>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</si>
  <si>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</si>
  <si>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</si>
  <si>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</si>
  <si>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</si>
  <si>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</si>
  <si>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</si>
  <si>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</si>
  <si>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</si>
  <si>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</si>
  <si>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</si>
  <si>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</si>
  <si>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</si>
  <si>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</si>
  <si>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</si>
  <si>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</si>
  <si>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</si>
  <si>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</si>
  <si>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</si>
  <si>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</si>
  <si>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</si>
  <si>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</si>
  <si>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</si>
  <si>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</si>
  <si>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</si>
  <si>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</si>
  <si>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</si>
  <si>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</si>
  <si>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</si>
  <si>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</si>
  <si>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</si>
  <si>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</si>
  <si>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</si>
  <si>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</si>
  <si>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</si>
  <si>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</si>
  <si>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</si>
  <si>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</si>
  <si>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</si>
  <si>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</si>
  <si>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</si>
  <si>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</si>
  <si>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</si>
  <si>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</si>
  <si>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</si>
  <si>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</si>
  <si>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</si>
  <si>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</si>
  <si>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</si>
  <si>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</si>
  <si>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</si>
  <si>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</si>
  <si>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</si>
  <si>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</si>
  <si>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</si>
  <si>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</si>
  <si>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</si>
  <si>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</si>
  <si>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</si>
  <si>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</si>
  <si>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</si>
  <si>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</si>
  <si>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</si>
  <si>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</si>
  <si>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</si>
  <si>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</si>
  <si>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</si>
  <si>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</si>
  <si>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</si>
  <si>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</si>
  <si>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</si>
  <si>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</si>
  <si>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</si>
  <si>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</si>
  <si>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</si>
  <si>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</si>
  <si>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</si>
  <si>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</si>
  <si>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</si>
  <si>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</si>
  <si>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</si>
  <si>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</si>
  <si>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</si>
  <si>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</si>
  <si>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</si>
  <si>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</si>
  <si>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</si>
  <si>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</si>
  <si>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</si>
  <si>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</si>
  <si>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</si>
  <si>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</si>
  <si>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</si>
  <si>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</si>
  <si>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</si>
  <si>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</si>
  <si>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</si>
  <si>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</si>
  <si>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</si>
  <si>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</si>
  <si>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</si>
  <si>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</si>
  <si>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</si>
  <si>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</si>
  <si>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</si>
  <si>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</si>
  <si>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</si>
  <si>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</si>
  <si>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</si>
  <si>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</si>
  <si>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</si>
  <si>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</si>
  <si>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</si>
  <si>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</si>
  <si>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</si>
  <si>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</si>
  <si>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</si>
  <si>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</si>
  <si>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</si>
  <si>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</si>
  <si>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</si>
  <si>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</si>
  <si>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</si>
  <si>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</si>
  <si>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</si>
  <si>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</si>
  <si>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</si>
  <si>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</si>
  <si>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</si>
  <si>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</si>
  <si>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</si>
  <si>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</si>
  <si>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</si>
  <si>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</si>
  <si>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</si>
  <si>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</si>
  <si>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</si>
  <si>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</si>
  <si>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</si>
  <si>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</si>
  <si>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</si>
  <si>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</si>
  <si>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</si>
  <si>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</si>
  <si>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</si>
  <si>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</si>
  <si>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</si>
  <si>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</si>
  <si>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</si>
  <si>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</si>
  <si>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</si>
  <si>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</si>
  <si>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</si>
  <si>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</si>
  <si>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</si>
  <si>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</si>
  <si>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</si>
  <si>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</si>
  <si>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</si>
  <si>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</si>
  <si>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</si>
  <si>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</si>
  <si>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</si>
  <si>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</si>
  <si>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</si>
  <si>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</si>
  <si>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</si>
  <si>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</si>
  <si>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</si>
  <si>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</si>
  <si>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</si>
  <si>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</si>
  <si>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</si>
  <si>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</si>
  <si>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</si>
  <si>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</si>
  <si>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</si>
  <si>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</si>
  <si>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</si>
  <si>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</si>
  <si>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</si>
  <si>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</si>
  <si>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</si>
  <si>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</si>
  <si>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</si>
  <si>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</si>
  <si>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</si>
  <si>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</si>
  <si>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</si>
  <si>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</si>
  <si>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</si>
  <si>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</si>
  <si>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</si>
  <si>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</si>
  <si>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</si>
  <si>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</si>
  <si>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</si>
  <si>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</si>
  <si>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</si>
  <si>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</si>
  <si>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</si>
  <si>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</si>
  <si>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</si>
  <si>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</si>
  <si>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</si>
  <si>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</si>
  <si>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</si>
  <si>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</si>
  <si>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</si>
  <si>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</si>
  <si>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</si>
  <si>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</si>
  <si>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</si>
  <si>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</si>
  <si>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</si>
  <si>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</si>
  <si>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</si>
  <si>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</si>
  <si>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</si>
  <si>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</si>
  <si>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</si>
  <si>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</si>
  <si>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</si>
  <si>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</si>
  <si>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</si>
  <si>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</si>
  <si>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</si>
  <si>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</si>
  <si>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</si>
  <si>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</si>
  <si>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</si>
  <si>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</si>
  <si>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</si>
  <si>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</si>
  <si>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</si>
  <si>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</si>
  <si>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</si>
  <si>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</si>
  <si>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</si>
  <si>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</si>
  <si>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</si>
  <si>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</si>
  <si>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</si>
  <si>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</si>
  <si>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</si>
  <si>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</si>
  <si>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</si>
  <si>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</si>
  <si>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</si>
  <si>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</si>
  <si>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</si>
  <si>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</si>
  <si>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</si>
  <si>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</si>
  <si>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</si>
  <si>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</si>
  <si>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</si>
  <si>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</si>
  <si>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</si>
  <si>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</si>
  <si>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</si>
  <si>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</si>
  <si>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</si>
  <si>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</si>
  <si>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</si>
  <si>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</si>
  <si>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</si>
  <si>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</si>
  <si>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</si>
  <si>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</si>
  <si>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</si>
  <si>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</si>
  <si>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</si>
  <si>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</si>
  <si>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</si>
  <si>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</si>
  <si>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</si>
  <si>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</si>
  <si>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</si>
  <si>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</si>
  <si>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</si>
  <si>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</si>
  <si>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</si>
  <si>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</si>
  <si>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</si>
  <si>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</si>
  <si>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</si>
  <si>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</si>
  <si>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</si>
  <si>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</si>
  <si>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</si>
  <si>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</si>
  <si>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</si>
  <si>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</si>
  <si>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</si>
  <si>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</si>
  <si>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</si>
  <si>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</si>
  <si>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</si>
  <si>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</si>
  <si>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</si>
  <si>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</si>
  <si>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</si>
  <si>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</si>
  <si>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</si>
  <si>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</si>
  <si>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</si>
  <si>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</si>
  <si>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</si>
  <si>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</si>
  <si>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</si>
  <si>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</si>
  <si>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</si>
  <si>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</si>
  <si>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</si>
  <si>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</si>
  <si>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</si>
  <si>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</si>
  <si>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</si>
  <si>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</si>
  <si>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</si>
  <si>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</si>
  <si>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</si>
  <si>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</si>
  <si>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</si>
  <si>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</si>
  <si>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</si>
  <si>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</si>
  <si>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</si>
  <si>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</si>
  <si>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</si>
  <si>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</si>
  <si>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</si>
  <si>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</si>
  <si>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</si>
  <si>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</si>
  <si>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</si>
  <si>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</si>
  <si>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</si>
  <si>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</si>
  <si>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</si>
  <si>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</si>
  <si>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</si>
  <si>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</si>
  <si>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</si>
  <si>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</si>
  <si>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</si>
  <si>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</si>
  <si>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</si>
  <si>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</si>
  <si>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</si>
  <si>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</si>
  <si>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</si>
  <si>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</si>
  <si>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</si>
  <si>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</si>
  <si>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</si>
  <si>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</si>
  <si>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</si>
  <si>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</si>
  <si>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</si>
  <si>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</si>
  <si>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</si>
  <si>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</si>
  <si>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</si>
  <si>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</si>
  <si>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</si>
  <si>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</si>
  <si>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</si>
  <si>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</si>
  <si>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</si>
  <si>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</si>
  <si>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</si>
  <si>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</si>
  <si>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</si>
  <si>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</si>
  <si>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</si>
  <si>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</si>
  <si>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</si>
  <si>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</si>
  <si>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</si>
  <si>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</si>
  <si>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</si>
  <si>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</si>
  <si>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</si>
  <si>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</si>
  <si>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</si>
  <si>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</si>
  <si>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</si>
  <si>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</si>
  <si>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</si>
  <si>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</si>
  <si>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</si>
  <si>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</si>
  <si>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</si>
  <si>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</si>
  <si>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</si>
  <si>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</si>
  <si>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</si>
  <si>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</si>
  <si>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</si>
  <si>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</si>
  <si>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</si>
  <si>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</si>
  <si>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</si>
  <si>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</si>
  <si>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</si>
  <si>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</si>
  <si>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</si>
  <si>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</si>
  <si>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</si>
  <si>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</si>
  <si>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</si>
  <si>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</si>
  <si>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</si>
  <si>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</si>
  <si>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</si>
  <si>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</si>
  <si>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</si>
  <si>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</si>
  <si>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</si>
  <si>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</si>
  <si>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</si>
  <si>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</si>
  <si>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</si>
  <si>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</si>
  <si>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</si>
  <si>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</si>
  <si>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</si>
  <si>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</si>
  <si>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</si>
  <si>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</si>
  <si>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</si>
  <si>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</si>
  <si>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</si>
  <si>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</si>
  <si>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</si>
  <si>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</si>
  <si>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</si>
  <si>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</si>
  <si>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</si>
  <si>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</si>
  <si>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</si>
  <si>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</si>
  <si>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</si>
  <si>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</si>
  <si>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</si>
  <si>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</si>
  <si>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</si>
  <si>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</si>
  <si>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</si>
  <si>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</si>
  <si>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</si>
  <si>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</si>
  <si>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</si>
  <si>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</si>
  <si>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</si>
  <si>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</si>
  <si>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</si>
  <si>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</si>
  <si>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</si>
  <si>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</si>
  <si>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</si>
  <si>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</si>
  <si>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</si>
  <si>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</si>
  <si>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</si>
  <si>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</si>
  <si>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</si>
  <si>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</si>
  <si>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</si>
  <si>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</si>
  <si>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</si>
  <si>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</si>
  <si>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</si>
  <si>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</si>
  <si>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</si>
  <si>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</si>
  <si>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</si>
  <si>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</si>
  <si>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</si>
  <si>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</si>
  <si>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</si>
  <si>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</si>
  <si>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</si>
  <si>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</si>
  <si>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</si>
  <si>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</si>
  <si>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</si>
  <si>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</si>
  <si>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</si>
  <si>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</si>
  <si>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</si>
  <si>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</si>
  <si>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</si>
  <si>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</si>
  <si>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</si>
  <si>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</si>
  <si>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</si>
  <si>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</si>
  <si>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</si>
  <si>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</si>
  <si>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</si>
  <si>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</si>
  <si>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</si>
  <si>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</si>
  <si>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</si>
  <si>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</si>
  <si>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</si>
  <si>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</si>
  <si>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</si>
  <si>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</si>
  <si>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</si>
  <si>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</si>
  <si>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</si>
  <si>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</si>
  <si>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</si>
  <si>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</si>
  <si>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</si>
  <si>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</si>
  <si>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</si>
  <si>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</si>
  <si>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</si>
  <si>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</si>
  <si>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</si>
  <si>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</si>
  <si>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</si>
  <si>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</si>
  <si>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</si>
  <si>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</si>
  <si>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</si>
  <si>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</si>
  <si>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</si>
  <si>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</si>
  <si>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</si>
  <si>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</si>
  <si>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</si>
  <si>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</si>
  <si>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</si>
  <si>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</si>
  <si>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</si>
  <si>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</si>
  <si>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</si>
  <si>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</si>
  <si>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</si>
  <si>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</si>
  <si>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</si>
  <si>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</si>
  <si>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</si>
  <si>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</si>
  <si>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</si>
  <si>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</si>
  <si>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</si>
  <si>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</si>
  <si>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</si>
  <si>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</si>
  <si>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</si>
  <si>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</si>
  <si>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</si>
  <si>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</si>
  <si>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</si>
  <si>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</si>
  <si>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</si>
  <si>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</si>
  <si>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</si>
  <si>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</si>
  <si>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</si>
  <si>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</si>
  <si>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</si>
  <si>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</si>
  <si>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</si>
  <si>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</si>
  <si>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</si>
  <si>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</si>
  <si>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</si>
  <si>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</si>
  <si>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</si>
  <si>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</si>
  <si>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</si>
  <si>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</si>
  <si>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</si>
  <si>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</si>
  <si>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</si>
  <si>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</si>
  <si>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</si>
  <si>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</si>
  <si>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</si>
  <si>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</si>
  <si>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</si>
  <si>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</si>
  <si>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</si>
  <si>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</si>
  <si>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</si>
  <si>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</si>
  <si>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</si>
  <si>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</si>
  <si>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</si>
  <si>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</si>
  <si>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</si>
  <si>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</si>
  <si>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</si>
  <si>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</si>
  <si>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</si>
  <si>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</si>
  <si>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</si>
  <si>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</si>
  <si>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</si>
  <si>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</si>
  <si>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</si>
  <si>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</si>
  <si>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</si>
  <si>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</si>
  <si>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</si>
  <si>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</si>
  <si>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</si>
  <si>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</si>
  <si>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</si>
  <si>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</si>
  <si>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</si>
  <si>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</si>
  <si>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</si>
  <si>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</si>
  <si>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</si>
  <si>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</si>
  <si>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</si>
  <si>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</si>
  <si>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</si>
  <si>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</si>
  <si>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</si>
  <si>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</si>
  <si>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</si>
  <si>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</si>
  <si>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</si>
  <si>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</si>
  <si>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</si>
  <si>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</si>
  <si>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</si>
  <si>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</si>
  <si>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</si>
  <si>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</si>
  <si>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</si>
  <si>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</si>
  <si>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</si>
  <si>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</si>
  <si>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</si>
  <si>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</si>
  <si>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</si>
  <si>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</si>
  <si>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</si>
  <si>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</si>
  <si>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</si>
  <si>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</si>
  <si>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</si>
  <si>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</si>
  <si>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</si>
  <si>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</si>
  <si>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</si>
  <si>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</si>
  <si>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</si>
  <si>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</si>
  <si>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</si>
  <si>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</si>
  <si>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</si>
  <si>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</si>
  <si>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</si>
  <si>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</si>
  <si>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</si>
  <si>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</si>
  <si>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</si>
  <si>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</si>
  <si>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</si>
  <si>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</si>
  <si>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</si>
  <si>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</si>
  <si>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</si>
  <si>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</si>
  <si>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</si>
  <si>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</si>
  <si>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</si>
  <si>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</si>
  <si>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</si>
  <si>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</si>
  <si>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</si>
  <si>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</si>
  <si>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</si>
  <si>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</si>
  <si>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</si>
  <si>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</si>
  <si>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</si>
  <si>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</si>
  <si>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</si>
  <si>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</si>
  <si>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</si>
  <si>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</si>
  <si>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</si>
  <si>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</si>
  <si>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</si>
  <si>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</si>
  <si>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</si>
  <si>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</si>
  <si>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</si>
  <si>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</si>
  <si>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</si>
  <si>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</si>
  <si>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</si>
  <si>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</si>
  <si>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</si>
  <si>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</si>
  <si>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</si>
  <si>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</si>
  <si>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</si>
  <si>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</si>
  <si>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</si>
  <si>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</si>
  <si>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</si>
  <si>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</si>
  <si>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</si>
  <si>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</si>
  <si>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</si>
  <si>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</si>
  <si>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</si>
  <si>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</si>
  <si>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</si>
  <si>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</si>
  <si>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</si>
  <si>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</si>
  <si>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</si>
  <si>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</si>
  <si>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</si>
  <si>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</si>
  <si>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</si>
  <si>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</si>
  <si>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</si>
  <si>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</si>
  <si>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</si>
  <si>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</si>
  <si>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</si>
  <si>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</si>
  <si>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</si>
  <si>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</si>
  <si>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</si>
  <si>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</si>
  <si>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</si>
  <si>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</si>
  <si>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</si>
  <si>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</si>
  <si>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</si>
  <si>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</si>
  <si>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</si>
  <si>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</si>
  <si>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</si>
  <si>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</si>
  <si>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</si>
  <si>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</si>
  <si>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</si>
  <si>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</si>
  <si>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</si>
  <si>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</si>
  <si>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</si>
  <si>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</si>
  <si>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</si>
  <si>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</si>
  <si>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</si>
  <si>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</si>
  <si>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</si>
  <si>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</si>
  <si>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</si>
  <si>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</si>
  <si>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</si>
  <si>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</si>
  <si>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</si>
  <si>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</si>
  <si>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</si>
  <si>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</si>
  <si>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</si>
  <si>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</si>
  <si>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</si>
  <si>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</si>
  <si>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</si>
  <si>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</si>
  <si>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</si>
  <si>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</si>
  <si>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</si>
  <si>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</si>
  <si>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</si>
  <si>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</si>
  <si>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</si>
  <si>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</si>
  <si>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</si>
  <si>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</si>
  <si>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</si>
  <si>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</si>
  <si>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</si>
  <si>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</si>
  <si>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</si>
  <si>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</si>
  <si>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</si>
  <si>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</si>
  <si>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</si>
  <si>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</si>
  <si>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</si>
  <si>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</si>
  <si>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</si>
  <si>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</si>
  <si>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</si>
  <si>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</si>
  <si>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</si>
  <si>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</si>
  <si>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</si>
  <si>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</si>
  <si>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</si>
  <si>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</si>
  <si>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</si>
  <si>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</si>
  <si>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</si>
  <si>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</si>
  <si>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</si>
  <si>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</si>
  <si>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</si>
  <si>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</si>
  <si>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</si>
  <si>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</si>
  <si>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</si>
  <si>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</si>
  <si>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</si>
  <si>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</si>
  <si>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</si>
  <si>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</si>
  <si>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</si>
  <si>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</si>
  <si>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</si>
  <si>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</si>
  <si>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</si>
  <si>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</si>
  <si>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</si>
  <si>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</si>
  <si>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</si>
  <si>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</si>
  <si>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</si>
  <si>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</si>
  <si>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</si>
  <si>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</si>
  <si>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</si>
  <si>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</si>
  <si>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</si>
  <si>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</si>
  <si>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</si>
  <si>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</si>
  <si>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</si>
  <si>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</si>
  <si>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</si>
  <si>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</si>
  <si>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</si>
  <si>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</si>
  <si>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</si>
  <si>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</si>
  <si>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</si>
  <si>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</si>
  <si>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</si>
  <si>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</si>
  <si>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</si>
  <si>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</si>
  <si>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</si>
  <si>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</si>
  <si>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</si>
  <si>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</si>
  <si>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</si>
  <si>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</si>
  <si>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</si>
  <si>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</si>
  <si>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</si>
  <si>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</si>
  <si>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</si>
  <si>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</si>
  <si>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</si>
  <si>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</si>
  <si>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</si>
  <si>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</si>
  <si>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</si>
  <si>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</si>
  <si>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</si>
  <si>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</si>
  <si>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</si>
  <si>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</si>
  <si>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</si>
  <si>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</si>
  <si>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</si>
  <si>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</si>
  <si>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</si>
  <si>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</si>
  <si>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</si>
  <si>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</si>
  <si>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</si>
  <si>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</si>
  <si>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</si>
  <si>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</si>
  <si>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</si>
  <si>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</si>
  <si>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</si>
  <si>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</si>
  <si>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</si>
  <si>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</si>
  <si>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</si>
  <si>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</si>
  <si>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</si>
  <si>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</si>
  <si>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</si>
  <si>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</si>
  <si>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</si>
  <si>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</si>
  <si>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</si>
  <si>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</si>
  <si>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</si>
  <si>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</si>
  <si>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</si>
  <si>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</si>
  <si>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</si>
  <si>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</si>
  <si>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</si>
  <si>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</si>
  <si>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</si>
  <si>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</si>
  <si>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</si>
  <si>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</si>
  <si>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</si>
  <si>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</si>
  <si>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</si>
  <si>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</si>
  <si>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</si>
  <si>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</si>
  <si>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</si>
  <si>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</si>
  <si>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</si>
  <si>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</si>
  <si>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</si>
  <si>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</si>
  <si>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</si>
  <si>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</si>
  <si>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</si>
  <si>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</si>
  <si>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</si>
  <si>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</si>
  <si>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</si>
  <si>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</si>
  <si>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</si>
  <si>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</si>
  <si>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</si>
  <si>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</si>
  <si>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</si>
  <si>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</si>
  <si>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</si>
  <si>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</si>
  <si>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</si>
  <si>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</si>
  <si>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</si>
  <si>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</si>
  <si>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</si>
  <si>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</si>
  <si>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</si>
  <si>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</si>
  <si>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</si>
  <si>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</si>
  <si>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</si>
  <si>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</si>
  <si>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</si>
  <si>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</si>
  <si>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</si>
  <si>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</si>
  <si>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</si>
  <si>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</si>
  <si>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</si>
  <si>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</si>
  <si>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</si>
  <si>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</si>
  <si>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</si>
  <si>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</si>
  <si>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</si>
  <si>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</si>
  <si>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</si>
  <si>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</si>
  <si>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</si>
  <si>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</si>
  <si>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</si>
  <si>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</si>
  <si>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</si>
  <si>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</si>
  <si>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</si>
  <si>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</si>
  <si>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</si>
  <si>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</si>
  <si>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</si>
  <si>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</si>
  <si>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</si>
  <si>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</si>
  <si>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</si>
  <si>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</si>
  <si>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</si>
  <si>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</si>
  <si>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</si>
  <si>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</si>
  <si>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</si>
  <si>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</si>
  <si>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</si>
  <si>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</si>
  <si>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</si>
  <si>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</si>
  <si>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</si>
  <si>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</si>
  <si>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</si>
  <si>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</si>
  <si>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</si>
  <si>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</si>
  <si>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</si>
  <si>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</si>
  <si>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</si>
  <si>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</si>
  <si>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</si>
  <si>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</si>
  <si>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</si>
  <si>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</si>
  <si>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</si>
  <si>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</si>
  <si>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</si>
  <si>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</si>
  <si>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</si>
  <si>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</si>
  <si>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</si>
  <si>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</si>
  <si>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</si>
  <si>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</si>
  <si>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</si>
  <si>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</si>
  <si>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</si>
  <si>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</si>
  <si>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</si>
  <si>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</si>
  <si>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</si>
  <si>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</si>
  <si>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</si>
  <si>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</si>
  <si>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</si>
  <si>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</si>
  <si>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</si>
  <si>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</si>
  <si>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</si>
  <si>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</si>
  <si>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</si>
  <si>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</si>
  <si>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</si>
  <si>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</si>
  <si>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</si>
  <si>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</si>
  <si>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</si>
  <si>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</si>
  <si>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</si>
  <si>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</si>
  <si>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</si>
  <si>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</si>
  <si>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</si>
  <si>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</si>
  <si>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</si>
  <si>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</si>
  <si>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</si>
  <si>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</si>
  <si>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</si>
  <si>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</si>
  <si>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</si>
  <si>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</si>
  <si>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</si>
  <si>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</si>
  <si>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</si>
  <si>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</si>
  <si>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</si>
  <si>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</si>
  <si>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</si>
  <si>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</si>
  <si>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</si>
  <si>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</si>
  <si>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</si>
  <si>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</si>
  <si>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</si>
  <si>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</si>
  <si>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</si>
  <si>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</si>
  <si>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</si>
  <si>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</si>
  <si>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</si>
  <si>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</si>
  <si>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</si>
  <si>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</si>
  <si>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</si>
  <si>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</si>
  <si>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</si>
  <si>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</si>
  <si>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</si>
  <si>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</si>
  <si>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</si>
  <si>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</si>
  <si>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</si>
  <si>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</si>
  <si>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</si>
  <si>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</si>
  <si>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</si>
  <si>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</si>
  <si>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</si>
  <si>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</si>
  <si>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</si>
  <si>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</si>
  <si>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</si>
  <si>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</si>
  <si>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</si>
  <si>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</si>
  <si>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</si>
  <si>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</si>
  <si>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</si>
  <si>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</si>
  <si>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</si>
  <si>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</si>
  <si>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</si>
  <si>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</si>
  <si>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</si>
  <si>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</si>
  <si>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</si>
  <si>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</si>
  <si>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</si>
  <si>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</si>
  <si>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</si>
  <si>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</si>
  <si>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</si>
  <si>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</si>
  <si>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</si>
  <si>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</si>
  <si>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</si>
  <si>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</si>
  <si>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</si>
  <si>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</si>
  <si>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</si>
  <si>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</si>
  <si>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</si>
  <si>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</si>
  <si>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</si>
  <si>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</si>
  <si>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</si>
  <si>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</si>
  <si>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</si>
  <si>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</si>
  <si>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</si>
  <si>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</si>
  <si>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</si>
  <si>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</si>
  <si>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</si>
  <si>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</si>
  <si>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</si>
  <si>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</si>
  <si>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</si>
  <si>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</si>
  <si>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</si>
  <si>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</si>
  <si>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</si>
  <si>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</si>
  <si>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</si>
  <si>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</si>
  <si>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</si>
  <si>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</si>
  <si>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</si>
  <si>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</si>
  <si>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</si>
  <si>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</si>
  <si>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</si>
  <si>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</si>
  <si>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</si>
  <si>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</si>
  <si>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</si>
  <si>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</si>
  <si>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</si>
  <si>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</si>
  <si>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</si>
  <si>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</si>
  <si>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</si>
  <si>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</si>
  <si>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</si>
  <si>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</si>
  <si>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</si>
  <si>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</si>
  <si>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</si>
  <si>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</si>
  <si>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</si>
  <si>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</si>
  <si>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</si>
  <si>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</si>
  <si>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</si>
  <si>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</si>
  <si>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</si>
  <si>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</si>
  <si>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</si>
  <si>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</si>
  <si>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</si>
  <si>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</si>
  <si>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</si>
  <si>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</si>
  <si>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</si>
  <si>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</si>
  <si>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</si>
  <si>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</si>
  <si>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</si>
  <si>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</si>
  <si>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</si>
  <si>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</si>
  <si>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</si>
  <si>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</si>
  <si>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</si>
  <si>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</si>
  <si>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</si>
  <si>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</si>
  <si>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</si>
  <si>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</si>
  <si>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</si>
  <si>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</si>
  <si>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</si>
  <si>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</si>
  <si>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</si>
  <si>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</si>
  <si>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</si>
  <si>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</si>
  <si>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</si>
  <si>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</si>
  <si>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</si>
  <si>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</si>
  <si>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</si>
  <si>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</si>
  <si>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</si>
  <si>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</si>
  <si>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</si>
  <si>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</si>
  <si>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</si>
  <si>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</si>
  <si>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</si>
  <si>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</si>
  <si>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</si>
  <si>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</si>
  <si>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</si>
  <si>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</si>
  <si>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</si>
  <si>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</si>
  <si>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</si>
  <si>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</si>
  <si>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</si>
  <si>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</si>
  <si>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</si>
  <si>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</si>
  <si>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</si>
  <si>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</si>
  <si>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</si>
  <si>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</si>
  <si>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</si>
  <si>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</si>
  <si>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</si>
  <si>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</si>
  <si>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</si>
  <si>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</si>
  <si>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</si>
  <si>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</si>
  <si>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</si>
  <si>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</si>
  <si>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</si>
  <si>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</si>
  <si>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</si>
  <si>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</si>
  <si>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</si>
  <si>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</si>
  <si>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</si>
  <si>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</si>
  <si>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</si>
  <si>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</si>
  <si>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</si>
  <si>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</si>
  <si>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</si>
  <si>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</si>
  <si>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</si>
  <si>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</si>
  <si>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</si>
  <si>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</si>
  <si>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</si>
  <si>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</si>
  <si>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</si>
  <si>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</si>
  <si>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</si>
  <si>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</si>
  <si>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</si>
  <si>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</si>
  <si>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</si>
  <si>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</si>
  <si>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</si>
  <si>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</si>
  <si>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</si>
  <si>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</si>
  <si>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</si>
  <si>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</si>
  <si>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</si>
  <si>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</si>
  <si>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</si>
  <si>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</si>
  <si>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</si>
  <si>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</si>
  <si>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</si>
  <si>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</si>
  <si>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</si>
  <si>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</si>
  <si>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</si>
  <si>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</si>
  <si>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</si>
  <si>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</si>
  <si>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</si>
  <si>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</si>
  <si>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</si>
  <si>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</si>
  <si>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</si>
  <si>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</si>
  <si>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</si>
  <si>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</si>
  <si>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</si>
  <si>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</si>
  <si>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</si>
  <si>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</si>
  <si>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</si>
  <si>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</si>
  <si>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</si>
  <si>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</si>
  <si>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</si>
  <si>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</si>
  <si>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</si>
  <si>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</si>
  <si>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</si>
  <si>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</si>
  <si>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</si>
  <si>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</si>
  <si>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</si>
  <si>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</si>
  <si>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</si>
  <si>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</si>
  <si>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</si>
  <si>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</si>
  <si>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</si>
  <si>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</si>
  <si>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</si>
  <si>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</si>
  <si>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</si>
  <si>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</si>
  <si>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</si>
  <si>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</si>
  <si>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</si>
  <si>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</si>
  <si>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</si>
  <si>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</si>
  <si>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</si>
  <si>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</si>
  <si>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</si>
  <si>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</si>
  <si>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</si>
  <si>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</si>
  <si>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</si>
  <si>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</si>
  <si>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</si>
  <si>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</si>
  <si>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</si>
  <si>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</si>
  <si>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</si>
  <si>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</si>
  <si>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</si>
  <si>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</si>
  <si>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</si>
  <si>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</si>
  <si>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</si>
  <si>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</si>
  <si>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</si>
  <si>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</si>
  <si>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</si>
  <si>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</si>
  <si>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</si>
  <si>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</si>
  <si>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</si>
  <si>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</si>
  <si>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</si>
  <si>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</si>
  <si>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</si>
  <si>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</si>
  <si>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</si>
  <si>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</si>
  <si>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</si>
  <si>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</si>
  <si>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</si>
  <si>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</si>
  <si>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</si>
  <si>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</si>
  <si>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</si>
  <si>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</si>
  <si>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</si>
  <si>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</si>
  <si>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</si>
  <si>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</si>
  <si>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</si>
  <si>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</si>
  <si>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</si>
  <si>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</si>
  <si>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</si>
  <si>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</si>
  <si>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</si>
  <si>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</si>
  <si>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</si>
  <si>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</si>
  <si>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</si>
  <si>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</si>
  <si>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</si>
  <si>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</si>
  <si>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</si>
  <si>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</si>
  <si>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</si>
  <si>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</si>
  <si>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</si>
  <si>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</si>
  <si>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</si>
  <si>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</si>
  <si>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</si>
  <si>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</si>
  <si>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</si>
  <si>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</si>
  <si>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</si>
  <si>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</si>
  <si>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</si>
  <si>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</si>
  <si>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</si>
  <si>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</si>
  <si>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</si>
  <si>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</si>
  <si>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</si>
  <si>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</si>
  <si>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</si>
  <si>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</si>
  <si>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</si>
  <si>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</si>
  <si>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</si>
  <si>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</si>
  <si>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</si>
  <si>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</si>
  <si>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</si>
  <si>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</si>
  <si>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</si>
  <si>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</si>
  <si>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</si>
  <si>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</si>
  <si>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</si>
  <si>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</si>
  <si>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</si>
  <si>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</si>
  <si>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</si>
  <si>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</si>
  <si>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</si>
  <si>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</si>
  <si>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</si>
  <si>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</si>
  <si>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</si>
  <si>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</si>
  <si>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</si>
  <si>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</si>
  <si>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</si>
  <si>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</si>
  <si>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</si>
  <si>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</si>
  <si>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</si>
  <si>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</si>
  <si>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</si>
  <si>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</si>
  <si>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</si>
  <si>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</si>
  <si>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</si>
  <si>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</si>
  <si>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</si>
  <si>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</si>
  <si>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</si>
  <si>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</si>
  <si>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</si>
  <si>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</si>
  <si>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</si>
  <si>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</si>
  <si>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</si>
  <si>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</si>
  <si>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</si>
  <si>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</si>
  <si>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</si>
  <si>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</si>
  <si>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</si>
  <si>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</si>
  <si>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</si>
  <si>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</si>
  <si>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</si>
  <si>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</si>
  <si>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</si>
  <si>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</si>
  <si>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</si>
  <si>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</si>
  <si>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</si>
  <si>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</si>
  <si>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</si>
  <si>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</si>
  <si>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</si>
  <si>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</si>
  <si>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</si>
  <si>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</si>
  <si>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</si>
  <si>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</si>
  <si>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</si>
  <si>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</si>
  <si>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</si>
  <si>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</si>
  <si>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</si>
  <si>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</si>
  <si>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</si>
  <si>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</si>
  <si>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</si>
  <si>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</si>
  <si>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</si>
  <si>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</si>
  <si>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</si>
  <si>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</si>
  <si>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</si>
  <si>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</si>
  <si>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</si>
  <si>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</si>
  <si>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</si>
  <si>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</si>
  <si>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</si>
  <si>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</si>
  <si>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</si>
  <si>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</si>
  <si>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</si>
  <si>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</si>
  <si>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</si>
  <si>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</si>
  <si>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</si>
  <si>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</si>
  <si>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</si>
  <si>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</si>
  <si>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</si>
  <si>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</si>
  <si>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</si>
  <si>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</si>
  <si>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</si>
  <si>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</si>
  <si>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</si>
  <si>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</si>
  <si>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</si>
  <si>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</si>
  <si>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</si>
  <si>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</si>
  <si>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</si>
  <si>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</si>
  <si>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</si>
  <si>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</si>
  <si>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</si>
  <si>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</si>
  <si>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</si>
  <si>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</si>
  <si>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</si>
  <si>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</si>
  <si>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</si>
  <si>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</si>
  <si>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</si>
  <si>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</si>
  <si>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</si>
  <si>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</si>
  <si>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</si>
  <si>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</si>
  <si>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</si>
  <si>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</si>
  <si>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</si>
  <si>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</si>
  <si>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</si>
  <si>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</si>
  <si>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</si>
  <si>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</si>
  <si>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</si>
  <si>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</si>
  <si>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</si>
  <si>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</si>
  <si>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</si>
  <si>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</si>
  <si>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</si>
  <si>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</si>
  <si>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</si>
  <si>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</si>
  <si>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</si>
  <si>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</si>
  <si>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</si>
  <si>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</si>
  <si>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</si>
  <si>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</si>
  <si>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</si>
  <si>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</si>
  <si>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</si>
  <si>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</si>
  <si>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</si>
  <si>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</si>
  <si>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</si>
  <si>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</si>
  <si>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</si>
  <si>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</si>
  <si>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</si>
  <si>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</si>
  <si>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</si>
  <si>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</si>
  <si>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</si>
  <si>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</si>
  <si>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</si>
  <si>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</si>
  <si>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</si>
  <si>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</si>
  <si>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</si>
  <si>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</si>
  <si>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</si>
  <si>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</si>
  <si>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</si>
  <si>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</si>
  <si>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</si>
  <si>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</si>
  <si>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</si>
  <si>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</si>
  <si>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</si>
  <si>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</si>
  <si>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</si>
  <si>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</si>
  <si>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</si>
  <si>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</si>
  <si>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</si>
  <si>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</si>
  <si>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</si>
  <si>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</si>
  <si>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</si>
  <si>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</si>
  <si>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</si>
  <si>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</si>
  <si>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</si>
  <si>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</si>
  <si>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</si>
  <si>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</si>
  <si>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</si>
  <si>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</si>
  <si>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</si>
  <si>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</si>
  <si>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</si>
  <si>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</si>
  <si>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</si>
  <si>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</si>
  <si>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</si>
  <si>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</si>
  <si>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</si>
  <si>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</si>
  <si>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</si>
  <si>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</si>
  <si>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</si>
  <si>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</si>
  <si>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</si>
  <si>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</si>
  <si>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</si>
  <si>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</si>
  <si>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</si>
  <si>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</si>
  <si>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</si>
  <si>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</si>
  <si>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</si>
  <si>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</si>
  <si>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</si>
  <si>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</si>
  <si>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</si>
  <si>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</si>
  <si>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</si>
  <si>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</si>
  <si>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</si>
  <si>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</si>
  <si>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</si>
  <si>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</si>
  <si>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</si>
  <si>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</si>
  <si>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</si>
  <si>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</si>
  <si>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</si>
  <si>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</si>
  <si>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</si>
  <si>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</si>
  <si>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</si>
  <si>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</si>
  <si>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</si>
  <si>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</si>
  <si>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</si>
  <si>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</si>
  <si>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</si>
  <si>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</si>
  <si>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</si>
  <si>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</si>
  <si>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</si>
  <si>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</si>
  <si>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</si>
  <si>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</si>
  <si>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</si>
  <si>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</si>
  <si>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</si>
  <si>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</si>
  <si>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</si>
  <si>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</si>
  <si>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</si>
  <si>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</si>
  <si>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</si>
  <si>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</si>
  <si>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</si>
  <si>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</si>
  <si>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</si>
  <si>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</si>
  <si>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</si>
  <si>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</si>
  <si>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</si>
  <si>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</si>
  <si>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</si>
  <si>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</si>
  <si>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</si>
  <si>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</si>
  <si>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</si>
  <si>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</si>
  <si>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</si>
  <si>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</si>
  <si>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</si>
  <si>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</si>
  <si>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</si>
  <si>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</si>
  <si>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</si>
  <si>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</si>
  <si>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</si>
  <si>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</si>
  <si>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</si>
  <si>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</si>
  <si>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</si>
  <si>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</si>
  <si>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</si>
  <si>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</si>
  <si>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</si>
  <si>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</si>
  <si>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</si>
  <si>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</si>
  <si>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</si>
  <si>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</si>
  <si>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</si>
  <si>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</si>
  <si>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</si>
  <si>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</si>
  <si>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</si>
  <si>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</si>
  <si>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</si>
  <si>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</si>
  <si>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</si>
  <si>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</si>
  <si>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</si>
  <si>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</si>
  <si>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</si>
  <si>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</si>
  <si>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</si>
  <si>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</si>
  <si>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</si>
  <si>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</si>
  <si>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</si>
  <si>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</si>
  <si>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</si>
  <si>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</si>
  <si>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</si>
  <si>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</si>
  <si>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</si>
  <si>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</si>
  <si>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</si>
  <si>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</si>
  <si>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</si>
  <si>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</si>
  <si>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</si>
  <si>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</si>
  <si>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</si>
  <si>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</si>
  <si>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</si>
  <si>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</si>
  <si>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</si>
  <si>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</si>
  <si>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</si>
  <si>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</si>
  <si>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</si>
  <si>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</si>
  <si>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</si>
  <si>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</si>
  <si>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</si>
  <si>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</si>
  <si>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</si>
  <si>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</si>
  <si>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</si>
  <si>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</si>
  <si>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</si>
  <si>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</si>
  <si>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</si>
  <si>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</si>
  <si>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</si>
  <si>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</si>
  <si>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</si>
  <si>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</si>
  <si>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</si>
  <si>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</si>
  <si>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</si>
  <si>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</si>
  <si>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</si>
  <si>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</si>
  <si>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</si>
  <si>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</si>
  <si>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</si>
  <si>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</si>
  <si>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</si>
  <si>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</si>
  <si>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</si>
  <si>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</si>
  <si>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</si>
  <si>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</si>
  <si>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</si>
  <si>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</si>
  <si>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</si>
  <si>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</si>
  <si>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</si>
  <si>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</si>
  <si>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</si>
  <si>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</si>
  <si>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</si>
  <si>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</si>
  <si>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</si>
  <si>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</si>
  <si>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</si>
  <si>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</si>
  <si>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</si>
  <si>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</si>
  <si>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</si>
  <si>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</si>
  <si>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</si>
  <si>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</si>
  <si>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</si>
  <si>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</si>
  <si>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</si>
  <si>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</si>
  <si>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</si>
  <si>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</si>
  <si>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</si>
  <si>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</si>
  <si>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</si>
  <si>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</si>
  <si>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</si>
  <si>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</si>
  <si>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</si>
  <si>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</si>
  <si>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</si>
  <si>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</si>
  <si>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</si>
  <si>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</si>
  <si>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</si>
  <si>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</si>
  <si>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</si>
  <si>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</si>
  <si>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</si>
  <si>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</si>
  <si>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</si>
  <si>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</si>
  <si>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</si>
  <si>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</si>
  <si>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</si>
  <si>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</si>
  <si>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</si>
  <si>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</si>
  <si>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</si>
  <si>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</si>
  <si>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</si>
  <si>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</si>
  <si>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</si>
  <si>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</si>
  <si>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</si>
  <si>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</si>
  <si>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</si>
  <si>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</si>
  <si>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</si>
  <si>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</si>
  <si>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</si>
  <si>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</si>
  <si>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</si>
  <si>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</si>
  <si>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</si>
  <si>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</si>
  <si>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</si>
  <si>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</si>
  <si>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</si>
  <si>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</si>
  <si>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</si>
  <si>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</si>
  <si>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</si>
  <si>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</si>
  <si>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</si>
  <si>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</si>
  <si>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</si>
  <si>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</si>
  <si>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</si>
  <si>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</si>
  <si>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</si>
  <si>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</si>
  <si>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</si>
  <si>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</si>
  <si>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</si>
  <si>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</si>
  <si>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</si>
  <si>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</si>
  <si>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</si>
  <si>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</si>
  <si>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</si>
  <si>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</si>
  <si>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</si>
  <si>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</si>
  <si>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</si>
  <si>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</si>
  <si>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</si>
  <si>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</si>
  <si>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</si>
  <si>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</si>
  <si>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</si>
  <si>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</si>
  <si>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</si>
  <si>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</si>
  <si>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</si>
  <si>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</si>
  <si>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</si>
  <si>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</si>
  <si>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</si>
  <si>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</si>
  <si>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</si>
  <si>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</si>
  <si>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</si>
  <si>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</si>
  <si>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</si>
  <si>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</si>
  <si>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</si>
  <si>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</si>
  <si>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</si>
  <si>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</si>
  <si>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</si>
  <si>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</si>
  <si>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</si>
  <si>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</si>
  <si>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</si>
  <si>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</si>
  <si>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</si>
  <si>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</si>
  <si>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</si>
  <si>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</si>
  <si>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</si>
  <si>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</si>
  <si>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</si>
  <si>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</si>
  <si>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</si>
  <si>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</si>
  <si>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</si>
  <si>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</si>
  <si>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</si>
  <si>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</si>
  <si>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</si>
  <si>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</si>
  <si>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</si>
  <si>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</si>
  <si>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</si>
  <si>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</si>
  <si>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</si>
  <si>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</si>
  <si>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</si>
  <si>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</si>
  <si>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</si>
  <si>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</si>
  <si>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</si>
  <si>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</si>
  <si>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</si>
  <si>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</si>
  <si>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</si>
  <si>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</si>
  <si>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</si>
  <si>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</si>
  <si>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</si>
  <si>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</si>
  <si>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</si>
  <si>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</si>
  <si>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</si>
  <si>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</si>
  <si>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</si>
  <si>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</si>
  <si>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</si>
  <si>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</si>
  <si>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</si>
  <si>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</si>
  <si>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</si>
  <si>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</si>
  <si>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</si>
  <si>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</si>
  <si>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</si>
  <si>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</si>
  <si>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</si>
  <si>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</si>
  <si>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</si>
  <si>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</si>
  <si>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</si>
  <si>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</si>
  <si>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</si>
  <si>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</si>
  <si>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</si>
  <si>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</si>
  <si>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</si>
  <si>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</si>
  <si>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</si>
  <si>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</si>
  <si>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</si>
  <si>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</si>
  <si>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</si>
  <si>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</si>
  <si>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</si>
  <si>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</si>
  <si>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</si>
  <si>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</si>
  <si>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</si>
  <si>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</si>
  <si>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</si>
  <si>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</si>
  <si>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</si>
  <si>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</si>
  <si>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</si>
  <si>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</si>
  <si>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</si>
  <si>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</si>
  <si>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</si>
  <si>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</si>
  <si>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</si>
  <si>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</si>
  <si>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</si>
  <si>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</si>
  <si>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</si>
  <si>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</si>
  <si>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</si>
  <si>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</si>
  <si>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</si>
  <si>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</si>
  <si>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</si>
  <si>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</si>
  <si>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</si>
  <si>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</si>
  <si>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</si>
  <si>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</si>
  <si>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</si>
  <si>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</si>
  <si>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</si>
  <si>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</si>
  <si>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</si>
  <si>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</si>
  <si>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</si>
  <si>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</si>
  <si>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</si>
  <si>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</si>
  <si>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</si>
  <si>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</si>
  <si>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</si>
  <si>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</si>
  <si>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</si>
  <si>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</si>
  <si>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</si>
  <si>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</si>
  <si>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</si>
  <si>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</si>
  <si>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</si>
  <si>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</si>
  <si>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</si>
  <si>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</si>
  <si>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</si>
  <si>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</si>
  <si>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</si>
  <si>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</si>
  <si>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</si>
  <si>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</si>
  <si>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</si>
  <si>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</si>
  <si>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</si>
  <si>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</si>
  <si>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</si>
  <si>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</si>
  <si>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</si>
  <si>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</si>
  <si>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</si>
  <si>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</si>
  <si>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</si>
  <si>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</si>
  <si>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</si>
  <si>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</si>
  <si>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</si>
  <si>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</si>
  <si>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</si>
  <si>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</si>
  <si>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</si>
  <si>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</si>
  <si>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</si>
  <si>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</si>
  <si>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</si>
  <si>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</si>
  <si>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</si>
  <si>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</si>
  <si>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</si>
  <si>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</si>
  <si>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</si>
  <si>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</si>
  <si>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</si>
  <si>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</si>
  <si>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</si>
  <si>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</si>
  <si>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</si>
  <si>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</si>
  <si>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</si>
  <si>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</si>
  <si>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</si>
  <si>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</si>
  <si>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</si>
  <si>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</si>
  <si>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</si>
  <si>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</si>
  <si>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</si>
  <si>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</si>
  <si>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</si>
  <si>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</si>
  <si>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</si>
  <si>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</si>
  <si>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</si>
  <si>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</si>
  <si>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</si>
  <si>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</si>
  <si>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</si>
  <si>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</si>
  <si>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</si>
  <si>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</si>
  <si>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</si>
  <si>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</si>
  <si>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</si>
  <si>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</si>
  <si>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</si>
  <si>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</si>
  <si>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</si>
  <si>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</si>
  <si>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</si>
  <si>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</si>
  <si>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</si>
  <si>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</si>
  <si>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</si>
  <si>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</si>
  <si>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</si>
  <si>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</si>
  <si>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</si>
  <si>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</si>
  <si>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</si>
  <si>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</si>
  <si>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</si>
  <si>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</si>
  <si>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</si>
  <si>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</si>
  <si>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</si>
  <si>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</si>
  <si>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</si>
  <si>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</si>
  <si>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</si>
  <si>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</si>
  <si>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</si>
  <si>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</si>
  <si>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</si>
  <si>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</si>
  <si>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</si>
  <si>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</si>
  <si>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</si>
  <si>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</si>
  <si>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</si>
  <si>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</si>
  <si>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</si>
  <si>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</si>
  <si>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</si>
  <si>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</si>
  <si>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</si>
  <si>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</si>
  <si>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</si>
  <si>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</si>
  <si>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</si>
  <si>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</si>
  <si>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</si>
  <si>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</si>
  <si>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</si>
  <si>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</si>
  <si>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</si>
  <si>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</si>
  <si>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</si>
  <si>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</si>
  <si>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</si>
  <si>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</si>
  <si>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</si>
  <si>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</si>
  <si>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</si>
  <si>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</si>
  <si>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</si>
  <si>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</si>
  <si>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</si>
  <si>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</si>
  <si>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</si>
  <si>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</si>
  <si>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</si>
  <si>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</si>
  <si>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</si>
  <si>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</si>
  <si>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</si>
  <si>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</si>
  <si>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</si>
  <si>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</si>
  <si>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</si>
  <si>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</si>
  <si>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</si>
  <si>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</si>
  <si>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</si>
  <si>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</si>
  <si>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</si>
  <si>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</si>
  <si>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</si>
  <si>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</si>
  <si>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</si>
  <si>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</si>
  <si>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</si>
  <si>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</si>
  <si>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</si>
  <si>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</si>
  <si>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</si>
  <si>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</si>
  <si>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</si>
  <si>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</si>
  <si>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</si>
  <si>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</si>
  <si>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</si>
  <si>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</si>
  <si>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</si>
  <si>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</si>
  <si>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</si>
  <si>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</si>
  <si>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</si>
  <si>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</si>
  <si>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</si>
  <si>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</si>
  <si>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</si>
  <si>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</si>
  <si>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</si>
  <si>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</si>
  <si>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</si>
  <si>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</si>
  <si>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</si>
  <si>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</si>
  <si>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</si>
  <si>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</si>
  <si>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</si>
  <si>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</si>
  <si>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</si>
  <si>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</si>
  <si>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</si>
  <si>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</si>
  <si>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</si>
  <si>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</si>
  <si>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</si>
  <si>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</si>
  <si>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</si>
  <si>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</si>
  <si>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</si>
  <si>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</si>
  <si>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</si>
  <si>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</si>
  <si>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</si>
  <si>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</si>
  <si>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</si>
  <si>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</si>
  <si>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</si>
  <si>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</si>
  <si>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</si>
  <si>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</si>
  <si>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</si>
  <si>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</si>
  <si>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</si>
  <si>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</si>
  <si>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</si>
  <si>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</si>
  <si>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</si>
  <si>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</si>
  <si>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</si>
  <si>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</si>
  <si>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</si>
  <si>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</si>
  <si>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</si>
  <si>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</si>
  <si>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</si>
  <si>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</si>
  <si>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</si>
  <si>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</si>
  <si>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</si>
  <si>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</si>
  <si>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</si>
  <si>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</si>
  <si>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</si>
  <si>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</si>
  <si>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</si>
  <si>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</si>
  <si>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</si>
  <si>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</si>
  <si>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</si>
  <si>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</si>
  <si>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</si>
  <si>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</si>
  <si>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</si>
  <si>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</si>
  <si>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</si>
  <si>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</si>
  <si>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</si>
  <si>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</si>
  <si>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</si>
  <si>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</si>
  <si>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</si>
  <si>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</si>
  <si>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</si>
  <si>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</si>
  <si>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</si>
  <si>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</si>
  <si>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</si>
  <si>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</si>
  <si>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</si>
  <si>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</si>
  <si>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</si>
  <si>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</si>
  <si>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</si>
  <si>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</si>
  <si>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</si>
  <si>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</si>
  <si>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</si>
  <si>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</si>
  <si>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</si>
  <si>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</si>
  <si>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</si>
  <si>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</si>
  <si>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</si>
  <si>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</si>
  <si>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</si>
  <si>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</si>
  <si>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</si>
  <si>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</si>
  <si>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</si>
  <si>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</si>
  <si>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</si>
  <si>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</si>
  <si>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</si>
  <si>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</si>
  <si>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</si>
  <si>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</si>
  <si>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</si>
  <si>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</si>
  <si>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</si>
  <si>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</si>
  <si>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</si>
  <si>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</si>
  <si>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</si>
  <si>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</si>
  <si>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</si>
  <si>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</si>
  <si>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</si>
  <si>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</si>
  <si>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</si>
  <si>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</si>
  <si>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</si>
  <si>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</si>
  <si>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</si>
  <si>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</si>
  <si>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</si>
  <si>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</si>
  <si>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</si>
  <si>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</si>
  <si>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</si>
  <si>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</si>
  <si>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</si>
  <si>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</si>
  <si>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</si>
  <si>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</si>
  <si>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</si>
  <si>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</si>
  <si>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</si>
  <si>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</si>
  <si>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</si>
  <si>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</si>
  <si>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</si>
  <si>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</si>
  <si>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</si>
  <si>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</si>
  <si>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</si>
  <si>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</si>
  <si>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</si>
  <si>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</si>
  <si>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</si>
  <si>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</si>
  <si>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</si>
  <si>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</si>
  <si>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</si>
  <si>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</si>
  <si>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</si>
  <si>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</si>
  <si>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</si>
  <si>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</si>
  <si>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</si>
  <si>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</si>
  <si>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</si>
  <si>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</si>
  <si>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</si>
  <si>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</si>
  <si>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</si>
  <si>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</si>
  <si>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</si>
  <si>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</si>
  <si>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</si>
  <si>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</si>
  <si>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</si>
  <si>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</si>
  <si>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</si>
  <si>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</si>
  <si>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</si>
  <si>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</si>
  <si>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</si>
  <si>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</si>
  <si>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</si>
  <si>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</si>
  <si>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</si>
  <si>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</si>
  <si>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</si>
  <si>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</si>
  <si>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</si>
  <si>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</si>
  <si>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</si>
  <si>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</si>
  <si>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</si>
  <si>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</si>
  <si>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</si>
  <si>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</si>
  <si>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</si>
  <si>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</si>
  <si>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</si>
  <si>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</si>
  <si>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</si>
  <si>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</si>
  <si>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</si>
  <si>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</si>
  <si>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</si>
  <si>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</si>
  <si>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</si>
  <si>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</si>
  <si>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</si>
  <si>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</si>
  <si>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</si>
  <si>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</si>
  <si>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</si>
  <si>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</si>
  <si>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</si>
  <si>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</si>
  <si>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</si>
  <si>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</si>
  <si>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</si>
  <si>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</si>
  <si>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</si>
  <si>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</si>
  <si>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</si>
  <si>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</si>
  <si>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</si>
  <si>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</si>
  <si>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</si>
  <si>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</si>
  <si>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</si>
  <si>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</si>
  <si>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</si>
  <si>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</si>
  <si>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</si>
  <si>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</si>
  <si>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</si>
  <si>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</si>
  <si>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</si>
  <si>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</si>
  <si>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</si>
  <si>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</si>
  <si>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</si>
  <si>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</si>
  <si>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</si>
  <si>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</si>
  <si>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</si>
  <si>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</si>
  <si>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</si>
  <si>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</si>
  <si>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</si>
  <si>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</si>
  <si>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</si>
  <si>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</si>
  <si>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</si>
  <si>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</si>
  <si>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</si>
  <si>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</si>
  <si>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</si>
  <si>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</si>
  <si>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</si>
  <si>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</si>
  <si>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</si>
  <si>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</si>
  <si>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</si>
  <si>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</si>
  <si>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</si>
  <si>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</si>
  <si>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</si>
  <si>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</si>
  <si>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</si>
  <si>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</si>
  <si>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</si>
  <si>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</si>
  <si>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</si>
  <si>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</si>
  <si>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</si>
  <si>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</si>
  <si>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</si>
  <si>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</si>
  <si>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</si>
  <si>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</si>
  <si>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</si>
  <si>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</si>
  <si>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</si>
  <si>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</si>
  <si>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</si>
  <si>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</si>
  <si>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</si>
  <si>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</si>
  <si>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</si>
  <si>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</si>
  <si>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</si>
  <si>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</si>
  <si>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</si>
  <si>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</si>
  <si>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</si>
  <si>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</si>
  <si>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</si>
  <si>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</si>
  <si>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</si>
  <si>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</si>
  <si>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</si>
  <si>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</si>
  <si>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</si>
  <si>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</si>
  <si>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</si>
  <si>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</si>
  <si>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</si>
  <si>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</si>
  <si>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</si>
  <si>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</si>
  <si>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</si>
  <si>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</si>
  <si>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</si>
  <si>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</si>
  <si>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</si>
  <si>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</si>
  <si>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</si>
  <si>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</si>
  <si>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</si>
  <si>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</si>
  <si>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</si>
  <si>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</si>
  <si>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</si>
  <si>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</si>
  <si>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</si>
  <si>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</si>
  <si>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</si>
  <si>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</si>
  <si>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</si>
  <si>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</si>
  <si>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</si>
  <si>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</si>
  <si>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</si>
  <si>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</si>
  <si>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</si>
  <si>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</si>
  <si>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</si>
  <si>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</si>
  <si>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</si>
  <si>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</si>
  <si>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</si>
  <si>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</si>
  <si>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</si>
  <si>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</si>
  <si>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</si>
  <si>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</si>
  <si>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</si>
  <si>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</si>
  <si>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</si>
  <si>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</si>
  <si>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</si>
  <si>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</si>
  <si>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</si>
  <si>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</si>
  <si>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</si>
  <si>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</si>
  <si>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</si>
  <si>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</si>
  <si>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</si>
  <si>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</si>
  <si>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</si>
  <si>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</si>
  <si>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</si>
  <si>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</si>
  <si>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</si>
  <si>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</si>
  <si>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</si>
  <si>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</si>
  <si>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</si>
  <si>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</si>
  <si>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</si>
  <si>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</si>
  <si>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</si>
  <si>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</si>
  <si>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</si>
  <si>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</si>
  <si>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</si>
  <si>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</si>
  <si>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</si>
  <si>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</si>
  <si>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</si>
  <si>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</si>
  <si>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</si>
  <si>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</si>
  <si>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</si>
  <si>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</si>
  <si>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</si>
  <si>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</si>
  <si>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</si>
  <si>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</si>
  <si>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</si>
  <si>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</si>
  <si>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</si>
  <si>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</si>
  <si>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</si>
  <si>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</si>
  <si>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</si>
  <si>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</si>
  <si>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</si>
  <si>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</si>
  <si>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</si>
  <si>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</si>
  <si>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</si>
  <si>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</si>
  <si>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</si>
  <si>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</si>
  <si>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</si>
  <si>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</si>
  <si>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</si>
  <si>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</si>
  <si>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</si>
  <si>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</si>
  <si>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</si>
  <si>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</si>
  <si>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</si>
  <si>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</si>
  <si>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</si>
  <si>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</si>
  <si>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</si>
  <si>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</si>
  <si>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</si>
  <si>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</si>
  <si>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</si>
  <si>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</si>
  <si>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</si>
  <si>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</si>
  <si>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</si>
  <si>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</si>
  <si>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</si>
  <si>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</si>
  <si>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</si>
  <si>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</si>
  <si>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</si>
  <si>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</si>
  <si>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</si>
  <si>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</si>
  <si>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</si>
  <si>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</si>
  <si>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</si>
  <si>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</si>
  <si>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</si>
  <si>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</si>
  <si>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</si>
  <si>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</si>
  <si>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</si>
  <si>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</si>
  <si>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</si>
  <si>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</si>
  <si>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</si>
  <si>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</si>
  <si>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</si>
  <si>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</si>
  <si>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</si>
  <si>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</si>
  <si>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</si>
  <si>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</si>
  <si>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</si>
  <si>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</si>
  <si>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</si>
  <si>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</si>
  <si>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</si>
  <si>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</si>
  <si>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</si>
  <si>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</si>
  <si>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</si>
  <si>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</si>
  <si>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</si>
  <si>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</si>
  <si>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</si>
  <si>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</si>
  <si>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</si>
  <si>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</si>
  <si>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</si>
  <si>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</si>
  <si>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</si>
  <si>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</si>
  <si>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</si>
  <si>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</si>
  <si>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</si>
  <si>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</si>
  <si>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</si>
  <si>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</si>
  <si>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</si>
  <si>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</si>
  <si>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</si>
  <si>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</si>
  <si>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</si>
  <si>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</si>
  <si>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</si>
  <si>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</si>
  <si>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</si>
  <si>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</si>
  <si>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</si>
  <si>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</si>
  <si>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</si>
  <si>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</si>
  <si>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</si>
  <si>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</si>
  <si>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</si>
  <si>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</si>
  <si>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</si>
  <si>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</si>
  <si>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</si>
  <si>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</si>
  <si>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</si>
  <si>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</si>
  <si>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</si>
  <si>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</si>
  <si>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</si>
  <si>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</si>
  <si>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</si>
  <si>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</si>
  <si>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</si>
  <si>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</si>
  <si>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</si>
  <si>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</si>
  <si>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</si>
  <si>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</si>
  <si>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</si>
  <si>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</si>
  <si>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</si>
  <si>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</si>
  <si>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</si>
  <si>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</si>
  <si>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</si>
  <si>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</si>
  <si>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</si>
  <si>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</si>
  <si>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</si>
  <si>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</si>
  <si>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</si>
  <si>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</si>
  <si>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</si>
  <si>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</si>
  <si>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</si>
  <si>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</si>
  <si>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</si>
  <si>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</si>
  <si>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</si>
  <si>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</si>
  <si>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</si>
  <si>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</si>
  <si>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</si>
  <si>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</si>
  <si>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</si>
  <si>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</si>
  <si>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</si>
  <si>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</si>
  <si>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</si>
  <si>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</si>
  <si>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</si>
  <si>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</si>
  <si>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</si>
  <si>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</si>
  <si>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</si>
  <si>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</si>
  <si>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</si>
  <si>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</si>
  <si>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</si>
  <si>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</si>
  <si>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</si>
  <si>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</si>
  <si>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</si>
  <si>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</si>
  <si>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</si>
  <si>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</si>
  <si>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</si>
  <si>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</si>
  <si>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</si>
  <si>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</si>
  <si>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</si>
  <si>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</si>
  <si>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</si>
  <si>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</si>
  <si>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</si>
  <si>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</si>
  <si>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</si>
  <si>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</si>
  <si>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</si>
  <si>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</si>
  <si>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</si>
  <si>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</si>
  <si>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</si>
  <si>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</si>
  <si>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</si>
  <si>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</si>
  <si>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</si>
  <si>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</si>
  <si>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</si>
  <si>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</si>
  <si>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</si>
  <si>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</si>
  <si>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</si>
  <si>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</si>
  <si>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</si>
  <si>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</si>
  <si>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</si>
  <si>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</si>
  <si>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</si>
  <si>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</si>
  <si>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</si>
  <si>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</si>
  <si>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</si>
  <si>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</si>
  <si>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</si>
  <si>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</si>
  <si>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</si>
  <si>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</si>
  <si>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</si>
  <si>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</si>
  <si>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</si>
  <si>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</si>
  <si>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</si>
  <si>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</si>
  <si>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</si>
  <si>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</si>
  <si>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</si>
  <si>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</si>
  <si>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</si>
  <si>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</si>
  <si>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</si>
  <si>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</si>
  <si>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</si>
  <si>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</si>
  <si>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</si>
  <si>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</si>
  <si>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</si>
  <si>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</si>
  <si>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</si>
  <si>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</si>
  <si>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</si>
  <si>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</si>
  <si>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</si>
  <si>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</si>
  <si>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</si>
  <si>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</si>
  <si>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</si>
  <si>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</si>
  <si>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</si>
  <si>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</si>
  <si>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</si>
  <si>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</si>
  <si>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</si>
  <si>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</si>
  <si>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</si>
  <si>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</si>
  <si>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</si>
  <si>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</si>
  <si>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</si>
  <si>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</si>
  <si>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</si>
  <si>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</si>
  <si>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</si>
  <si>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</si>
  <si>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</si>
  <si>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</si>
  <si>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</si>
  <si>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</si>
  <si>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</si>
  <si>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</si>
  <si>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</si>
  <si>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</si>
  <si>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</si>
  <si>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</si>
  <si>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</si>
  <si>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</si>
  <si>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</si>
  <si>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</si>
  <si>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</si>
  <si>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</si>
  <si>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</si>
  <si>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</si>
  <si>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</si>
  <si>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</si>
  <si>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</si>
  <si>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</si>
  <si>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</si>
  <si>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</si>
  <si>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</si>
  <si>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</si>
  <si>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</si>
  <si>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</si>
  <si>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</si>
  <si>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</si>
  <si>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</si>
  <si>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</si>
  <si>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</si>
  <si>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</si>
  <si>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</si>
  <si>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</si>
  <si>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</si>
  <si>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</si>
  <si>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</si>
  <si>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</si>
  <si>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</si>
  <si>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</si>
  <si>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</si>
  <si>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</si>
  <si>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</si>
  <si>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</si>
  <si>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</si>
  <si>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</si>
  <si>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</si>
  <si>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</si>
  <si>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</si>
  <si>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</si>
  <si>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</si>
  <si>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</si>
  <si>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</si>
  <si>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</si>
  <si>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</si>
  <si>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</si>
  <si>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</si>
  <si>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</si>
  <si>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</si>
  <si>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</si>
  <si>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</si>
  <si>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</si>
  <si>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</si>
  <si>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</si>
  <si>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</si>
  <si>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</si>
  <si>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</si>
  <si>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</si>
  <si>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</si>
  <si>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</si>
  <si>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</si>
  <si>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</si>
  <si>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</si>
  <si>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</si>
  <si>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</si>
  <si>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</si>
  <si>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</si>
  <si>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</si>
  <si>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</si>
  <si>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</si>
  <si>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</si>
  <si>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</si>
  <si>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</si>
  <si>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</si>
  <si>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</si>
  <si>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</si>
  <si>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</si>
  <si>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</si>
  <si>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</si>
  <si>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</si>
  <si>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</si>
  <si>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</si>
  <si>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</si>
  <si>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</si>
  <si>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</si>
  <si>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</si>
  <si>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</si>
  <si>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</si>
  <si>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</si>
  <si>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</si>
  <si>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</si>
  <si>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</si>
  <si>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</si>
  <si>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</si>
  <si>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</si>
  <si>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</si>
  <si>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</si>
  <si>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</si>
  <si>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</si>
  <si>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</si>
  <si>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</si>
  <si>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</si>
  <si>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</si>
  <si>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</si>
  <si>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</si>
  <si>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</si>
  <si>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</si>
  <si>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</si>
  <si>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</si>
  <si>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</si>
  <si>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</si>
  <si>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</si>
  <si>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</si>
  <si>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</si>
  <si>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</si>
  <si>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</si>
  <si>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</si>
  <si>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</si>
  <si>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</si>
  <si>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</si>
  <si>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</si>
  <si>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</si>
  <si>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</si>
  <si>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</si>
  <si>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</si>
  <si>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</si>
  <si>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</si>
  <si>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</si>
  <si>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</si>
  <si>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</si>
  <si>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</si>
  <si>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</si>
  <si>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</si>
  <si>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</si>
  <si>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</si>
  <si>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</si>
  <si>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</si>
  <si>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</si>
  <si>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</si>
  <si>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</si>
  <si>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</si>
  <si>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</si>
  <si>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</si>
  <si>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</si>
  <si>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</si>
  <si>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</si>
  <si>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</si>
  <si>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</si>
  <si>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</si>
  <si>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</si>
  <si>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</si>
  <si>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</si>
  <si>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</si>
  <si>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</si>
  <si>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</si>
  <si>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</si>
  <si>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</si>
  <si>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</si>
  <si>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</si>
  <si>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</si>
  <si>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</si>
  <si>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</si>
  <si>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</si>
  <si>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</si>
  <si>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</si>
  <si>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</si>
  <si>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</si>
  <si>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</si>
  <si>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</si>
  <si>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</si>
  <si>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</si>
  <si>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</si>
  <si>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</si>
  <si>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</si>
  <si>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</si>
  <si>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</si>
  <si>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</si>
  <si>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</si>
  <si>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</si>
  <si>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</si>
  <si>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</si>
  <si>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</si>
  <si>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</si>
  <si>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</si>
  <si>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</si>
  <si>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</si>
  <si>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</si>
  <si>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</si>
  <si>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</si>
  <si>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</si>
  <si>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</si>
  <si>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</si>
  <si>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</si>
  <si>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</si>
  <si>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</si>
  <si>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</si>
  <si>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</si>
  <si>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</si>
  <si>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</si>
  <si>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</si>
  <si>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</si>
  <si>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</si>
  <si>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</si>
  <si>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</si>
  <si>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</si>
  <si>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</si>
  <si>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</si>
  <si>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</si>
  <si>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</si>
  <si>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</si>
  <si>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</si>
  <si>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</si>
  <si>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</si>
  <si>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</si>
  <si>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</si>
  <si>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</si>
  <si>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</si>
  <si>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</si>
  <si>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</si>
  <si>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</si>
  <si>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</si>
  <si>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</si>
  <si>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</si>
  <si>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</si>
  <si>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</si>
  <si>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</si>
  <si>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</si>
  <si>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</si>
  <si>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</si>
  <si>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</si>
  <si>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</si>
  <si>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</si>
  <si>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</si>
  <si>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</si>
  <si>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</si>
  <si>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</si>
  <si>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</si>
  <si>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</si>
  <si>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</si>
  <si>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</si>
  <si>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</si>
  <si>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</si>
  <si>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</si>
  <si>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</si>
  <si>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</si>
  <si>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</si>
  <si>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</si>
  <si>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</si>
  <si>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</si>
  <si>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</si>
  <si>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</si>
  <si>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</si>
  <si>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</si>
  <si>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</si>
  <si>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</si>
  <si>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</si>
  <si>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</si>
  <si>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</si>
  <si>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</si>
  <si>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</si>
  <si>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</si>
  <si>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</si>
  <si>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</si>
  <si>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</si>
  <si>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</si>
  <si>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</si>
  <si>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</si>
  <si>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</si>
  <si>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</si>
  <si>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</si>
  <si>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</si>
  <si>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</si>
  <si>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</si>
  <si>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</si>
  <si>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</si>
  <si>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</si>
  <si>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</si>
  <si>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</si>
  <si>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</si>
  <si>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</si>
  <si>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</si>
  <si>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</si>
  <si>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</si>
  <si>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</si>
  <si>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</si>
  <si>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</si>
  <si>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</si>
  <si>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</si>
  <si>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</si>
  <si>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</si>
  <si>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</si>
  <si>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</si>
  <si>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</si>
  <si>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</si>
  <si>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</si>
  <si>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</si>
  <si>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</si>
  <si>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</si>
  <si>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</si>
  <si>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</si>
  <si>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</si>
  <si>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</si>
  <si>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</si>
  <si>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</si>
  <si>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</si>
  <si>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</si>
  <si>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</si>
  <si>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</si>
  <si>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</si>
  <si>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</si>
  <si>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</si>
  <si>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</si>
  <si>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</si>
  <si>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</si>
  <si>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</si>
  <si>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</si>
  <si>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</si>
  <si>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</si>
  <si>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</si>
  <si>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</si>
  <si>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</si>
  <si>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</si>
  <si>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</si>
  <si>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</si>
  <si>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</si>
  <si>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</si>
  <si>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</si>
  <si>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</si>
  <si>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</si>
  <si>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</si>
  <si>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</si>
  <si>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</si>
  <si>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</si>
  <si>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</si>
  <si>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</si>
  <si>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</si>
  <si>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</si>
  <si>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</si>
  <si>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</si>
  <si>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</si>
  <si>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</si>
  <si>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</si>
  <si>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</si>
  <si>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</si>
  <si>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</si>
  <si>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</si>
  <si>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</si>
  <si>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</si>
  <si>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</si>
  <si>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</si>
  <si>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</si>
  <si>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</si>
  <si>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</si>
  <si>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</si>
  <si>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</si>
  <si>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</si>
  <si>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</si>
  <si>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</si>
  <si>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</si>
  <si>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</si>
  <si>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</si>
  <si>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</si>
  <si>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</si>
  <si>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</si>
  <si>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</si>
  <si>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</si>
  <si>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</si>
  <si>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</si>
  <si>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</si>
  <si>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</si>
  <si>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</si>
  <si>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</si>
  <si>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</si>
  <si>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</si>
  <si>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</si>
  <si>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</si>
  <si>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</si>
  <si>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</si>
  <si>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</si>
  <si>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</si>
  <si>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</si>
  <si>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</si>
  <si>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</si>
  <si>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</si>
  <si>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</si>
  <si>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</si>
  <si>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</si>
  <si>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</si>
  <si>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</si>
  <si>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</si>
  <si>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</si>
  <si>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</si>
  <si>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</si>
  <si>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</si>
  <si>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</si>
  <si>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</si>
  <si>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</si>
  <si>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</si>
  <si>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</si>
  <si>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</si>
  <si>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</si>
  <si>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</si>
  <si>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</si>
  <si>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</si>
  <si>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</si>
  <si>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</si>
  <si>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</si>
  <si>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</si>
  <si>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</si>
  <si>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</si>
  <si>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</si>
  <si>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</si>
  <si>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</si>
  <si>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</si>
  <si>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</si>
  <si>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</si>
  <si>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</si>
  <si>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</si>
  <si>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</si>
  <si>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</si>
  <si>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</si>
  <si>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</si>
  <si>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</si>
  <si>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</si>
  <si>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</si>
  <si>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</si>
  <si>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</si>
  <si>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</si>
  <si>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</si>
  <si>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</si>
  <si>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</si>
  <si>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</si>
  <si>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</si>
  <si>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</si>
  <si>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</si>
  <si>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</si>
  <si>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</si>
  <si>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</si>
  <si>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</si>
  <si>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</si>
  <si>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</si>
  <si>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</si>
  <si>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</si>
  <si>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</si>
  <si>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</si>
  <si>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</si>
  <si>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</si>
  <si>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</si>
  <si>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</si>
  <si>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</si>
  <si>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</si>
  <si>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</si>
  <si>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</si>
  <si>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</si>
  <si>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</si>
  <si>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</si>
  <si>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</si>
  <si>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</si>
  <si>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</si>
  <si>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</si>
  <si>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</si>
  <si>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</si>
  <si>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</si>
  <si>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</si>
  <si>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</si>
  <si>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</si>
  <si>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</si>
  <si>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</si>
  <si>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</si>
  <si>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</si>
  <si>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</si>
  <si>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</si>
  <si>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</si>
  <si>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</si>
  <si>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</si>
  <si>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</si>
  <si>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</si>
  <si>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</si>
  <si>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</si>
  <si>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</si>
  <si>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</si>
  <si>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</si>
  <si>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</si>
  <si>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</si>
  <si>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</si>
  <si>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</si>
  <si>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</si>
  <si>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</si>
  <si>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</si>
  <si>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</si>
  <si>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</si>
  <si>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</si>
  <si>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</si>
  <si>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</si>
  <si>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</si>
  <si>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</si>
  <si>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</si>
  <si>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</si>
  <si>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</si>
  <si>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</si>
  <si>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</si>
  <si>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</si>
  <si>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</si>
  <si>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</si>
  <si>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</si>
  <si>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</si>
  <si>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</si>
  <si>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</si>
  <si>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</si>
  <si>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</si>
  <si>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</si>
  <si>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</si>
  <si>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</si>
  <si>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</si>
  <si>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</si>
  <si>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</si>
  <si>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</si>
  <si>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</si>
  <si>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</si>
  <si>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</si>
  <si>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</si>
  <si>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</si>
  <si>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</si>
  <si>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</si>
  <si>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</si>
  <si>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</si>
  <si>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</si>
  <si>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</si>
  <si>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</si>
  <si>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</si>
  <si>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</si>
  <si>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</si>
  <si>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</si>
  <si>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</si>
  <si>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</si>
  <si>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</si>
  <si>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</si>
  <si>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</si>
  <si>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</si>
  <si>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</si>
  <si>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</si>
  <si>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</si>
  <si>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</si>
  <si>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</si>
  <si>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</si>
  <si>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</si>
  <si>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</si>
  <si>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</si>
  <si>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</si>
  <si>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</si>
  <si>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</si>
  <si>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</si>
  <si>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</si>
  <si>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</si>
  <si>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</si>
  <si>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</si>
  <si>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</si>
  <si>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</si>
  <si>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</si>
  <si>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</si>
  <si>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</si>
  <si>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</si>
  <si>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</si>
  <si>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</si>
  <si>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</si>
  <si>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</si>
  <si>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</si>
  <si>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</si>
  <si>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</si>
  <si>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</si>
  <si>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</si>
  <si>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</si>
  <si>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</si>
  <si>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</si>
  <si>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</si>
  <si>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</si>
  <si>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</si>
  <si>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</si>
  <si>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</si>
  <si>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</si>
  <si>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</si>
  <si>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</si>
  <si>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</si>
  <si>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</si>
  <si>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</si>
  <si>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</si>
  <si>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</si>
  <si>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</si>
  <si>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</si>
  <si>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</si>
  <si>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</si>
  <si>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</si>
  <si>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</si>
  <si>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</si>
  <si>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</si>
  <si>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</si>
  <si>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</si>
  <si>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</si>
  <si>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</si>
  <si>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</si>
  <si>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</si>
  <si>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</si>
  <si>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</si>
  <si>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</si>
  <si>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</si>
  <si>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</si>
  <si>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</si>
  <si>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</si>
  <si>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</si>
  <si>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</si>
  <si>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</si>
  <si>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</si>
  <si>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</si>
  <si>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</si>
  <si>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</si>
  <si>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</si>
  <si>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</si>
  <si>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</si>
  <si>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</si>
  <si>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</si>
  <si>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</si>
  <si>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</si>
  <si>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</si>
  <si>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</si>
  <si>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</si>
  <si>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</si>
  <si>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</si>
  <si>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</si>
  <si>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</si>
  <si>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</si>
  <si>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</si>
  <si>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</si>
  <si>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</si>
  <si>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</si>
  <si>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</si>
  <si>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</si>
  <si>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</si>
  <si>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</si>
  <si>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</si>
  <si>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</si>
  <si>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</si>
  <si>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</si>
  <si>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</si>
  <si>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</si>
  <si>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</si>
  <si>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</si>
  <si>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</si>
  <si>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</si>
  <si>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</si>
  <si>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</si>
  <si>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</si>
  <si>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</si>
  <si>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</si>
  <si>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</si>
  <si>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</si>
  <si>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</si>
  <si>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</si>
  <si>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</si>
  <si>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</si>
  <si>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</si>
  <si>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</si>
  <si>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</si>
  <si>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</si>
  <si>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</si>
  <si>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</si>
  <si>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</si>
  <si>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</si>
  <si>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</si>
  <si>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</si>
  <si>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</si>
  <si>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</si>
  <si>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</si>
  <si>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</si>
  <si>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</si>
  <si>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</si>
  <si>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</si>
  <si>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</si>
  <si>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</si>
  <si>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</si>
  <si>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</si>
  <si>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</si>
  <si>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</si>
  <si>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</si>
  <si>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</si>
  <si>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</si>
  <si>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</si>
  <si>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</si>
  <si>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</si>
  <si>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</si>
  <si>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</si>
  <si>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</si>
  <si>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</si>
  <si>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</si>
  <si>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</si>
  <si>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</si>
  <si>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</si>
  <si>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</si>
  <si>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</si>
  <si>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</si>
  <si>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</si>
  <si>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</si>
  <si>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</si>
  <si>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</si>
  <si>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</si>
  <si>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</si>
  <si>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</si>
  <si>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</si>
  <si>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</si>
  <si>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</si>
  <si>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</si>
  <si>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</si>
  <si>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</si>
  <si>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</si>
  <si>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</si>
  <si>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</si>
  <si>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</si>
  <si>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</si>
  <si>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</si>
  <si>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</si>
  <si>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</si>
  <si>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</si>
  <si>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</si>
  <si>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</si>
  <si>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</si>
  <si>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</si>
  <si>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</si>
  <si>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</si>
  <si>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</si>
  <si>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</si>
  <si>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</si>
  <si>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</si>
  <si>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</si>
  <si>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</si>
  <si>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</si>
  <si>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</si>
  <si>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</si>
  <si>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</si>
  <si>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</si>
  <si>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</si>
  <si>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</si>
  <si>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</si>
  <si>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</si>
  <si>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</si>
  <si>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</si>
  <si>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</si>
  <si>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</si>
  <si>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</si>
  <si>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</si>
  <si>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</si>
  <si>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</si>
  <si>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</si>
  <si>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</si>
  <si>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</si>
  <si>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</si>
  <si>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</si>
  <si>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</si>
  <si>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</si>
  <si>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</si>
  <si>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</si>
  <si>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</si>
  <si>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</si>
  <si>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</si>
  <si>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</si>
  <si>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</si>
  <si>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</si>
  <si>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</si>
  <si>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</si>
  <si>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</si>
  <si>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</si>
  <si>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</si>
  <si>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</si>
  <si>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</si>
  <si>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</si>
  <si>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</si>
  <si>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</si>
  <si>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</si>
  <si>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</si>
  <si>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</si>
  <si>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</si>
  <si>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</si>
  <si>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</si>
  <si>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</si>
  <si>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</si>
  <si>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</si>
  <si>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</si>
  <si>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</si>
  <si>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</si>
  <si>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</si>
  <si>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</si>
  <si>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</si>
  <si>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</si>
  <si>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</si>
  <si>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</si>
  <si>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</si>
  <si>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</si>
  <si>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</si>
  <si>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</si>
  <si>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</si>
  <si>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</si>
  <si>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</si>
  <si>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</si>
  <si>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</si>
  <si>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</si>
  <si>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</si>
  <si>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</si>
  <si>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</si>
  <si>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</si>
  <si>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</si>
  <si>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</si>
  <si>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</si>
  <si>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</si>
  <si>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</si>
  <si>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</si>
  <si>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</si>
  <si>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</si>
  <si>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</si>
  <si>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</si>
  <si>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</si>
  <si>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</si>
  <si>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</si>
  <si>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</si>
  <si>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</si>
  <si>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</si>
  <si>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</si>
  <si>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</si>
  <si>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</si>
  <si>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</si>
  <si>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</si>
  <si>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</si>
  <si>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</si>
  <si>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</si>
  <si>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</si>
  <si>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</si>
  <si>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</si>
  <si>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</si>
  <si>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</si>
  <si>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</si>
  <si>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</si>
  <si>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</si>
  <si>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</si>
  <si>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</si>
  <si>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</si>
  <si>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</si>
  <si>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</si>
  <si>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</si>
  <si>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</si>
  <si>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</si>
  <si>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</si>
  <si>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</si>
  <si>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</si>
  <si>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</si>
  <si>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</si>
  <si>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</si>
  <si>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</si>
  <si>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</si>
  <si>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</si>
  <si>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</si>
  <si>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</si>
  <si>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</si>
  <si>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</si>
  <si>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</si>
  <si>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</si>
  <si>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</si>
  <si>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</si>
  <si>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</si>
  <si>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</si>
  <si>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</si>
  <si>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</si>
  <si>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</si>
  <si>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</si>
  <si>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</si>
  <si>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</si>
  <si>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</si>
  <si>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</si>
  <si>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</si>
  <si>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</si>
  <si>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</si>
  <si>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</si>
  <si>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</si>
  <si>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</si>
  <si>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</si>
  <si>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</si>
  <si>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</si>
  <si>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</si>
  <si>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</si>
  <si>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</si>
  <si>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</si>
  <si>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</si>
  <si>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</si>
  <si>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</si>
  <si>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</si>
  <si>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</si>
  <si>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</si>
  <si>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</si>
  <si>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</si>
  <si>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</si>
  <si>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</si>
  <si>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</si>
  <si>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</si>
  <si>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</si>
  <si>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</si>
  <si>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</si>
  <si>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</si>
  <si>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</si>
  <si>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</si>
  <si>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</si>
  <si>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</si>
  <si>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</si>
  <si>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</si>
  <si>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</si>
  <si>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</si>
  <si>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</si>
  <si>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</si>
  <si>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</si>
  <si>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</si>
  <si>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</si>
  <si>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</si>
  <si>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</si>
  <si>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</si>
  <si>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</si>
  <si>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</si>
  <si>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</si>
  <si>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</si>
  <si>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</si>
  <si>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</si>
  <si>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</si>
  <si>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</si>
  <si>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</si>
  <si>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</si>
  <si>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</si>
  <si>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</si>
  <si>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</si>
  <si>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</si>
  <si>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</si>
  <si>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</si>
  <si>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</si>
  <si>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</si>
  <si>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</si>
  <si>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</si>
  <si>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</si>
  <si>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</si>
  <si>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</si>
  <si>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</si>
  <si>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</si>
  <si>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</si>
  <si>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</si>
  <si>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</si>
  <si>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</si>
  <si>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</si>
  <si>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</si>
  <si>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</si>
  <si>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</si>
  <si>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</si>
  <si>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</si>
  <si>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</si>
  <si>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</si>
  <si>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</si>
  <si>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</si>
  <si>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</si>
  <si>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</si>
  <si>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</si>
  <si>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</si>
  <si>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</si>
  <si>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</si>
  <si>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</si>
  <si>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</si>
  <si>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</si>
  <si>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</si>
  <si>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</si>
  <si>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</si>
  <si>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</si>
  <si>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</si>
  <si>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</si>
  <si>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</si>
  <si>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</si>
  <si>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</si>
  <si>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</si>
  <si>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</si>
  <si>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</si>
  <si>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</si>
  <si>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</si>
  <si>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</si>
  <si>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</si>
  <si>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</si>
  <si>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</si>
  <si>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</si>
  <si>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</si>
  <si>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</si>
  <si>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</si>
  <si>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</si>
  <si>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</si>
  <si>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</si>
  <si>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</si>
  <si>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</si>
  <si>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</si>
  <si>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</si>
  <si>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</si>
  <si>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</si>
  <si>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</si>
  <si>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</si>
  <si>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</si>
  <si>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</si>
  <si>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</si>
  <si>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</si>
  <si>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</si>
  <si>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</si>
  <si>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</si>
  <si>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</si>
  <si>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</si>
  <si>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</si>
  <si>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</si>
  <si>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</si>
  <si>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</si>
  <si>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</si>
  <si>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</si>
  <si>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</si>
  <si>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</si>
  <si>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</si>
  <si>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</si>
  <si>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</si>
  <si>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</si>
  <si>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</si>
  <si>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</si>
  <si>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</si>
  <si>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</si>
  <si>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</si>
  <si>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</si>
  <si>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</si>
  <si>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</si>
  <si>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</si>
  <si>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</si>
  <si>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</si>
  <si>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</si>
  <si>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</si>
  <si>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</si>
  <si>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</si>
  <si>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</si>
  <si>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</si>
  <si>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</si>
  <si>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</si>
  <si>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</si>
  <si>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</si>
  <si>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</si>
  <si>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</si>
  <si>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</si>
  <si>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</si>
  <si>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</si>
  <si>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</si>
  <si>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</si>
  <si>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</si>
  <si>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</si>
  <si>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</si>
  <si>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</si>
  <si>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</si>
  <si>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</si>
  <si>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</si>
  <si>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</si>
  <si>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</si>
  <si>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</si>
  <si>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</si>
  <si>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</si>
  <si>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</si>
  <si>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</si>
  <si>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</si>
  <si>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</si>
  <si>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</si>
  <si>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</si>
  <si>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</si>
  <si>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</si>
  <si>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</si>
  <si>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</si>
  <si>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</si>
  <si>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</si>
  <si>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</si>
  <si>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</si>
  <si>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</si>
  <si>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</si>
  <si>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</si>
  <si>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</si>
  <si>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</si>
  <si>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</si>
  <si>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</si>
  <si>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</si>
  <si>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</si>
  <si>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</si>
  <si>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</si>
  <si>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</si>
  <si>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</si>
  <si>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</si>
  <si>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</si>
  <si>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</si>
  <si>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</si>
  <si>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</si>
  <si>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</si>
  <si>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</si>
  <si>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</si>
  <si>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</si>
  <si>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</si>
  <si>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</si>
  <si>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</si>
  <si>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</si>
  <si>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</si>
  <si>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</si>
  <si>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</si>
  <si>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</si>
  <si>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</si>
  <si>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</si>
  <si>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</si>
  <si>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</si>
  <si>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</si>
  <si>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</si>
  <si>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</si>
  <si>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</si>
  <si>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</si>
  <si>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</si>
  <si>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</si>
  <si>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</si>
  <si>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</si>
  <si>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</si>
  <si>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</si>
  <si>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</si>
  <si>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</si>
  <si>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</si>
  <si>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</si>
  <si>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</si>
  <si>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</si>
  <si>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</si>
  <si>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</si>
  <si>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</si>
  <si>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</si>
  <si>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</si>
  <si>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</si>
  <si>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</si>
  <si>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</si>
  <si>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</si>
  <si>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</si>
  <si>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</si>
  <si>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</si>
  <si>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</si>
  <si>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</si>
  <si>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</si>
  <si>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</si>
  <si>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</si>
  <si>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</si>
  <si>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</si>
  <si>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</si>
  <si>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</si>
  <si>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</si>
  <si>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</si>
  <si>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</si>
  <si>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</si>
  <si>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</si>
  <si>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</si>
  <si>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</si>
  <si>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</si>
  <si>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</si>
  <si>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</si>
  <si>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</si>
  <si>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</si>
  <si>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</si>
  <si>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</si>
  <si>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</si>
  <si>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</si>
  <si>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</si>
  <si>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</si>
  <si>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</si>
  <si>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</si>
  <si>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</si>
  <si>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</si>
  <si>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</si>
  <si>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</si>
  <si>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</si>
  <si>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</si>
  <si>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</si>
  <si>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</si>
  <si>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</si>
  <si>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</si>
  <si>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</si>
  <si>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</si>
  <si>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</si>
  <si>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</si>
  <si>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</si>
  <si>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</si>
  <si>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</si>
  <si>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</si>
  <si>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</si>
  <si>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</si>
  <si>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</si>
  <si>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</si>
  <si>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</si>
  <si>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</si>
  <si>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</si>
  <si>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</si>
  <si>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</si>
  <si>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</si>
  <si>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</si>
  <si>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</si>
  <si>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</si>
  <si>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</si>
  <si>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</si>
  <si>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</si>
  <si>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</si>
  <si>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</si>
  <si>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</si>
  <si>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</si>
  <si>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</si>
  <si>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</si>
  <si>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</si>
  <si>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</si>
  <si>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</si>
  <si>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</si>
  <si>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</si>
  <si>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</si>
  <si>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</si>
  <si>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</si>
  <si>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</si>
  <si>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</si>
  <si>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</si>
  <si>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</si>
  <si>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</si>
  <si>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</si>
  <si>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</si>
  <si>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</si>
  <si>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</si>
  <si>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</si>
  <si>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</si>
  <si>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</si>
  <si>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</si>
  <si>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</si>
  <si>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</si>
  <si>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</si>
  <si>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</si>
  <si>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</si>
  <si>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</si>
  <si>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</si>
  <si>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</si>
  <si>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</si>
  <si>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</si>
  <si>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</si>
  <si>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</si>
  <si>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</si>
  <si>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</si>
  <si>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</si>
  <si>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</si>
  <si>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</si>
  <si>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</si>
  <si>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</si>
  <si>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</si>
  <si>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</si>
  <si>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</si>
  <si>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</si>
  <si>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</si>
  <si>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</si>
  <si>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</si>
  <si>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</si>
  <si>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</si>
  <si>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</si>
  <si>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</si>
  <si>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</si>
  <si>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</si>
  <si>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</si>
  <si>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</si>
  <si>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</si>
  <si>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</si>
  <si>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</si>
  <si>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</si>
  <si>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</si>
  <si>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</si>
  <si>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</si>
  <si>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</si>
  <si>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</si>
  <si>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</si>
  <si>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</si>
  <si>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</si>
  <si>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</si>
  <si>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</si>
  <si>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</si>
  <si>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</si>
  <si>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</si>
  <si>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</si>
  <si>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</si>
  <si>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</si>
  <si>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</si>
  <si>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</si>
  <si>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</si>
  <si>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</si>
  <si>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</si>
  <si>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</si>
  <si>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</si>
  <si>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</si>
  <si>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</si>
  <si>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</si>
  <si>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</si>
  <si>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</si>
  <si>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</si>
  <si>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</si>
  <si>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</si>
  <si>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</si>
  <si>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</si>
  <si>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</si>
  <si>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</si>
  <si>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</si>
  <si>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</si>
  <si>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</si>
  <si>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</si>
  <si>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</si>
  <si>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</si>
  <si>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</si>
  <si>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</si>
  <si>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</si>
  <si>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</si>
  <si>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</si>
  <si>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</si>
  <si>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</si>
  <si>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</si>
  <si>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</si>
  <si>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</si>
  <si>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</si>
  <si>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</si>
  <si>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</si>
  <si>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</si>
  <si>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</si>
  <si>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</si>
  <si>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</si>
  <si>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</si>
  <si>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</si>
  <si>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</si>
  <si>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</si>
  <si>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</si>
  <si>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</si>
  <si>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</si>
  <si>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</si>
  <si>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</si>
  <si>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</si>
  <si>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</si>
  <si>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</si>
  <si>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</si>
  <si>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</si>
  <si>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</si>
  <si>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</si>
  <si>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</si>
  <si>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</si>
  <si>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</si>
  <si>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</si>
  <si>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</si>
  <si>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</si>
  <si>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</si>
  <si>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</si>
  <si>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</si>
  <si>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</si>
  <si>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</si>
  <si>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</si>
  <si>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</si>
  <si>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</si>
  <si>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</si>
  <si>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</si>
  <si>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</si>
  <si>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</si>
  <si>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</si>
  <si>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</si>
  <si>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</si>
  <si>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</si>
  <si>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</si>
  <si>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</si>
  <si>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</si>
  <si>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</si>
  <si>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</si>
  <si>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</si>
  <si>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</si>
  <si>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</si>
  <si>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</si>
  <si>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</si>
  <si>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</si>
  <si>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</si>
  <si>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</si>
  <si>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</si>
  <si>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</si>
  <si>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</si>
  <si>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</si>
  <si>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</si>
  <si>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</si>
  <si>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</si>
  <si>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</si>
  <si>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</si>
  <si>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</si>
  <si>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</si>
  <si>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</si>
  <si>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</si>
  <si>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</si>
  <si>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</si>
  <si>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</si>
  <si>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</si>
  <si>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</si>
  <si>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</si>
  <si>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</si>
  <si>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</si>
  <si>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</si>
  <si>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</si>
  <si>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</si>
  <si>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</si>
  <si>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</si>
  <si>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</si>
  <si>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</si>
  <si>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</si>
  <si>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</si>
  <si>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</si>
  <si>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</si>
  <si>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</si>
  <si>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</si>
  <si>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</si>
  <si>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</si>
  <si>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</si>
  <si>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</si>
  <si>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</si>
  <si>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</si>
  <si>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</si>
  <si>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</si>
  <si>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</si>
  <si>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</si>
  <si>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</si>
  <si>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</si>
  <si>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</si>
  <si>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</si>
  <si>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</si>
  <si>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</si>
  <si>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</si>
  <si>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</si>
  <si>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</si>
  <si>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</si>
  <si>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</si>
  <si>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</si>
  <si>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</si>
  <si>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</si>
  <si>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</si>
  <si>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</si>
  <si>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</si>
  <si>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</si>
  <si>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</si>
  <si>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</si>
  <si>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</si>
  <si>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</si>
  <si>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</si>
  <si>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</si>
  <si>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</si>
  <si>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</si>
  <si>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</si>
  <si>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</si>
  <si>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</si>
  <si>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</si>
  <si>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</si>
  <si>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</si>
  <si>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</si>
  <si>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</si>
  <si>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</si>
  <si>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</si>
  <si>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</si>
  <si>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</si>
  <si>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</si>
  <si>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</si>
  <si>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</si>
  <si>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</si>
  <si>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</si>
  <si>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</si>
  <si>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</si>
  <si>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</si>
  <si>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</si>
  <si>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</si>
  <si>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</si>
  <si>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</si>
  <si>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</si>
  <si>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</si>
  <si>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</si>
  <si>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</si>
  <si>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</si>
  <si>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</si>
  <si>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</si>
  <si>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</si>
  <si>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</si>
  <si>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</si>
  <si>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</si>
  <si>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</si>
  <si>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</si>
  <si>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</si>
  <si>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</si>
  <si>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</si>
  <si>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</si>
  <si>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</si>
  <si>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</si>
  <si>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</si>
  <si>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</si>
  <si>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</si>
  <si>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</si>
  <si>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</si>
  <si>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</si>
  <si>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</si>
  <si>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</si>
  <si>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</si>
  <si>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</si>
  <si>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</si>
  <si>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</si>
  <si>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</si>
  <si>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</si>
  <si>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</si>
  <si>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</si>
  <si>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</si>
  <si>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</si>
  <si>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</si>
  <si>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</si>
  <si>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</si>
  <si>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</si>
  <si>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</si>
  <si>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</si>
  <si>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</si>
  <si>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</si>
  <si>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</si>
  <si>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</si>
  <si>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</si>
  <si>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</si>
  <si>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</si>
  <si>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</si>
  <si>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</si>
  <si>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</si>
  <si>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</si>
  <si>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</si>
  <si>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</si>
  <si>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</si>
  <si>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</si>
  <si>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</si>
  <si>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</si>
  <si>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</si>
  <si>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</si>
  <si>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</si>
  <si>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</si>
  <si>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</si>
  <si>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</si>
  <si>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</si>
  <si>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</si>
  <si>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</si>
  <si>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</si>
  <si>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</si>
  <si>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</si>
  <si>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</si>
  <si>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</si>
  <si>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</si>
  <si>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</si>
  <si>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</si>
  <si>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</si>
  <si>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</si>
  <si>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</si>
  <si>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</si>
  <si>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</si>
  <si>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</si>
  <si>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</si>
  <si>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</si>
  <si>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</si>
  <si>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</si>
  <si>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</si>
  <si>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</si>
  <si>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</si>
  <si>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</si>
  <si>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</si>
  <si>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</si>
  <si>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</si>
  <si>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</si>
  <si>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</si>
  <si>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</si>
  <si>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</si>
  <si>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</si>
  <si>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</si>
  <si>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</si>
  <si>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</si>
  <si>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</si>
  <si>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</si>
  <si>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</si>
  <si>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</si>
  <si>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</si>
  <si>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</si>
  <si>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</si>
  <si>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</si>
  <si>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</si>
  <si>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</si>
  <si>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</si>
  <si>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</si>
  <si>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</si>
  <si>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</si>
  <si>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</si>
  <si>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</si>
  <si>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</si>
  <si>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</si>
  <si>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</si>
  <si>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</si>
  <si>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</si>
  <si>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</si>
  <si>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</si>
  <si>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</si>
  <si>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</si>
  <si>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</si>
  <si>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</si>
  <si>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</si>
  <si>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</si>
  <si>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</si>
  <si>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</si>
  <si>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</si>
  <si>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</si>
  <si>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</si>
  <si>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</si>
  <si>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</si>
  <si>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</si>
  <si>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</si>
  <si>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</si>
  <si>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</si>
  <si>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</si>
  <si>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</si>
  <si>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</si>
  <si>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</si>
  <si>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</si>
  <si>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</si>
  <si>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</si>
  <si>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</si>
  <si>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</si>
  <si>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</si>
  <si>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</si>
  <si>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</si>
  <si>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</si>
  <si>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</si>
  <si>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</si>
  <si>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</si>
  <si>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</si>
  <si>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</si>
  <si>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</si>
  <si>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</si>
  <si>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</si>
  <si>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</si>
  <si>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</si>
  <si>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</si>
  <si>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</si>
  <si>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</si>
  <si>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</si>
  <si>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</si>
  <si>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</si>
  <si>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</si>
  <si>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</si>
  <si>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</si>
  <si>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</si>
  <si>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</si>
  <si>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</si>
  <si>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</si>
  <si>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</si>
  <si>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</si>
  <si>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</si>
  <si>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</si>
  <si>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</si>
  <si>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</si>
  <si>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</si>
  <si>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</si>
  <si>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</si>
  <si>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</si>
  <si>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</si>
  <si>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</si>
  <si>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</si>
  <si>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</si>
  <si>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</si>
  <si>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</si>
  <si>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</si>
  <si>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</si>
  <si>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</si>
  <si>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</si>
  <si>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</si>
  <si>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</si>
  <si>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</si>
  <si>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</si>
  <si>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</si>
  <si>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</si>
  <si>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</si>
  <si>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</si>
  <si>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</si>
  <si>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</si>
  <si>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</si>
  <si>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</si>
  <si>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</si>
  <si>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</si>
  <si>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</si>
  <si>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</si>
  <si>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</si>
  <si>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</si>
  <si>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</si>
  <si>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</si>
  <si>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</si>
  <si>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</si>
  <si>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</si>
  <si>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</si>
  <si>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</si>
  <si>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</si>
  <si>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</si>
  <si>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</si>
  <si>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</si>
  <si>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</si>
  <si>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</si>
  <si>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</si>
  <si>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</si>
  <si>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</si>
  <si>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</si>
  <si>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</si>
  <si>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</si>
  <si>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</si>
  <si>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</si>
  <si>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</si>
  <si>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</si>
  <si>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</si>
  <si>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</si>
  <si>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</si>
  <si>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</si>
  <si>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</si>
  <si>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</si>
  <si>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</si>
  <si>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</si>
  <si>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</si>
  <si>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</si>
  <si>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</si>
  <si>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</si>
  <si>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</si>
  <si>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</si>
  <si>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</si>
  <si>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</si>
  <si>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</si>
  <si>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</si>
  <si>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</si>
  <si>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</si>
  <si>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</si>
  <si>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</si>
  <si>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</si>
  <si>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</si>
  <si>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</si>
  <si>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</si>
  <si>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</si>
  <si>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</si>
  <si>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</si>
  <si>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</si>
  <si>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</si>
  <si>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</si>
  <si>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</si>
  <si>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</si>
  <si>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</si>
  <si>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</si>
  <si>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</si>
  <si>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</si>
  <si>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</si>
  <si>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</si>
  <si>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</si>
  <si>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</si>
  <si>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</si>
  <si>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</si>
  <si>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</si>
  <si>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</si>
  <si>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</si>
  <si>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</si>
  <si>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</si>
  <si>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</si>
  <si>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</si>
  <si>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</si>
  <si>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</si>
  <si>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</si>
  <si>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</si>
  <si>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</si>
  <si>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</si>
  <si>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</si>
  <si>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</si>
  <si>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</si>
  <si>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</si>
  <si>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</si>
  <si>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</si>
  <si>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</si>
  <si>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</si>
  <si>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</si>
  <si>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</si>
  <si>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</si>
  <si>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</si>
  <si>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</si>
  <si>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</si>
  <si>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</si>
  <si>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</si>
  <si>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</si>
  <si>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</si>
  <si>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</si>
  <si>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</si>
  <si>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</si>
  <si>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</si>
  <si>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</si>
  <si>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</si>
  <si>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</si>
  <si>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</si>
  <si>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</si>
  <si>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</si>
  <si>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</si>
  <si>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</si>
  <si>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</si>
  <si>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</si>
  <si>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</si>
  <si>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</si>
  <si>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</si>
  <si>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</si>
  <si>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</si>
  <si>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</si>
  <si>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</si>
  <si>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</si>
  <si>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</si>
  <si>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</si>
  <si>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</si>
  <si>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</si>
  <si>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</si>
  <si>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</si>
  <si>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</si>
  <si>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</si>
  <si>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</si>
  <si>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</si>
  <si>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</si>
  <si>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</si>
  <si>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</si>
  <si>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</si>
  <si>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</si>
  <si>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</si>
  <si>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</si>
  <si>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</si>
  <si>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</si>
  <si>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</si>
  <si>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</si>
  <si>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</si>
  <si>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</si>
  <si>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</si>
  <si>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</si>
  <si>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</si>
  <si>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</si>
  <si>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</si>
  <si>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</si>
  <si>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</si>
  <si>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</si>
  <si>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</si>
  <si>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</si>
  <si>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</si>
  <si>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</si>
  <si>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</si>
  <si>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</si>
  <si>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</si>
  <si>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</si>
  <si>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</si>
  <si>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</si>
  <si>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</si>
  <si>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</si>
  <si>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</si>
  <si>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</si>
  <si>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</si>
  <si>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</si>
  <si>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</si>
  <si>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</si>
  <si>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</si>
  <si>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</si>
  <si>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</si>
  <si>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</si>
  <si>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</si>
  <si>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</si>
  <si>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</si>
  <si>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</si>
  <si>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</si>
  <si>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</si>
  <si>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</si>
  <si>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</si>
  <si>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</si>
  <si>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</si>
  <si>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</si>
  <si>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</si>
  <si>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</si>
  <si>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</si>
  <si>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</si>
  <si>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</si>
  <si>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</si>
  <si>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</si>
  <si>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</si>
  <si>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</si>
  <si>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</si>
  <si>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</si>
  <si>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</si>
  <si>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</si>
  <si>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</si>
  <si>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</si>
  <si>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</si>
  <si>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</si>
  <si>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</si>
  <si>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</si>
  <si>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</si>
  <si>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</si>
  <si>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</si>
  <si>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</si>
  <si>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</si>
  <si>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</si>
  <si>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</si>
  <si>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</si>
  <si>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</si>
  <si>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</si>
  <si>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</si>
  <si>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</si>
  <si>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</si>
  <si>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</si>
  <si>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</si>
  <si>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</si>
  <si>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</si>
  <si>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</si>
  <si>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</si>
  <si>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</si>
  <si>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</si>
  <si>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</si>
  <si>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</si>
  <si>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</si>
  <si>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</si>
  <si>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</si>
  <si>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</si>
  <si>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</si>
  <si>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</si>
  <si>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</si>
  <si>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</si>
  <si>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</si>
  <si>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</si>
  <si>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</si>
  <si>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</si>
  <si>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</si>
  <si>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</si>
  <si>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</si>
  <si>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</si>
  <si>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</si>
  <si>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</si>
  <si>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</si>
  <si>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</si>
  <si>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</si>
  <si>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</si>
  <si>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</si>
  <si>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</si>
  <si>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</si>
  <si>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</si>
  <si>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</si>
  <si>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</si>
  <si>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</si>
  <si>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</si>
  <si>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</si>
  <si>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</si>
  <si>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</si>
  <si>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</si>
  <si>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</si>
  <si>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</si>
  <si>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</si>
  <si>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</si>
  <si>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</si>
  <si>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</si>
  <si>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</si>
  <si>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</si>
  <si>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</si>
  <si>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</si>
  <si>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</si>
  <si>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</si>
  <si>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</si>
  <si>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</si>
  <si>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</si>
  <si>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</si>
  <si>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</si>
  <si>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</si>
  <si>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</si>
  <si>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</si>
  <si>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</si>
  <si>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</si>
  <si>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</si>
  <si>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</si>
  <si>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</si>
  <si>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</si>
  <si>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</si>
  <si>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</si>
  <si>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</si>
  <si>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</si>
  <si>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</si>
  <si>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</si>
  <si>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</si>
  <si>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</si>
  <si>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</si>
  <si>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</si>
  <si>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</si>
  <si>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</si>
  <si>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</si>
  <si>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</si>
  <si>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</si>
  <si>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</si>
  <si>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</si>
  <si>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</si>
  <si>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</si>
  <si>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</si>
  <si>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</si>
  <si>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</si>
  <si>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</si>
  <si>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</si>
  <si>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</si>
  <si>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</si>
  <si>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</si>
  <si>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</si>
  <si>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</si>
  <si>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</si>
  <si>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</si>
  <si>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</si>
  <si>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</si>
  <si>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</si>
  <si>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</si>
  <si>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</si>
  <si>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</si>
  <si>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</si>
  <si>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</si>
  <si>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</si>
  <si>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</si>
  <si>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</si>
  <si>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</si>
  <si>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</si>
  <si>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</si>
  <si>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</si>
  <si>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</si>
  <si>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</si>
  <si>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</si>
  <si>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</si>
  <si>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</si>
  <si>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</si>
  <si>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</si>
  <si>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</si>
  <si>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</si>
  <si>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</si>
  <si>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</si>
  <si>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</si>
  <si>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</si>
  <si>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</si>
  <si>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</si>
  <si>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</si>
  <si>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</si>
  <si>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</si>
  <si>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</si>
  <si>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</si>
  <si>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</si>
  <si>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</si>
  <si>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</si>
  <si>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</si>
  <si>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</si>
  <si>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</si>
  <si>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</si>
  <si>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</si>
  <si>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</si>
  <si>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</si>
  <si>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</si>
  <si>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</si>
  <si>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</si>
  <si>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</si>
  <si>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</si>
  <si>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</si>
  <si>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</si>
  <si>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</si>
  <si>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</si>
  <si>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</si>
  <si>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</si>
  <si>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</si>
  <si>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</si>
  <si>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</si>
  <si>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</si>
  <si>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</si>
  <si>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</si>
  <si>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</si>
  <si>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</si>
  <si>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</si>
  <si>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</si>
  <si>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</si>
  <si>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</si>
  <si>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</si>
  <si>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</si>
  <si>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</si>
  <si>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</si>
  <si>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</si>
  <si>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</si>
  <si>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</si>
  <si>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</si>
  <si>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</si>
  <si>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</si>
  <si>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</si>
  <si>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</si>
  <si>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</si>
  <si>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</si>
  <si>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</si>
  <si>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</si>
  <si>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</si>
  <si>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</si>
  <si>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</si>
  <si>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</si>
  <si>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</si>
  <si>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</si>
  <si>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</si>
  <si>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</si>
  <si>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</si>
  <si>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</si>
  <si>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</si>
  <si>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</si>
  <si>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</si>
  <si>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</si>
  <si>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</si>
  <si>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</si>
  <si>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</si>
  <si>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</si>
  <si>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</si>
  <si>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</si>
  <si>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</si>
  <si>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</si>
  <si>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</si>
  <si>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</si>
  <si>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</si>
  <si>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</si>
  <si>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</si>
  <si>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</si>
  <si>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</si>
  <si>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</si>
  <si>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</si>
  <si>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</si>
  <si>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</si>
  <si>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</si>
  <si>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</si>
  <si>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</si>
  <si>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</si>
  <si>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</si>
  <si>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</si>
  <si>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</si>
  <si>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</si>
  <si>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</si>
  <si>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</si>
  <si>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</si>
  <si>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</si>
  <si>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</si>
  <si>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</si>
  <si>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</si>
  <si>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</si>
  <si>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</si>
  <si>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</si>
  <si>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</si>
  <si>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</si>
  <si>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</si>
  <si>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</si>
  <si>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</si>
  <si>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</si>
  <si>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</si>
  <si>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</si>
  <si>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</si>
  <si>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</si>
  <si>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</si>
  <si>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</si>
  <si>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</si>
  <si>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</si>
  <si>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</si>
  <si>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</si>
  <si>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</si>
  <si>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</si>
  <si>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</si>
  <si>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</si>
  <si>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</si>
  <si>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</si>
  <si>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</si>
  <si>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</si>
  <si>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</si>
  <si>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</si>
  <si>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</si>
  <si>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</si>
  <si>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</si>
  <si>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</si>
  <si>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</si>
  <si>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</si>
  <si>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</si>
  <si>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</si>
  <si>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</si>
  <si>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</si>
  <si>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</si>
  <si>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</si>
  <si>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</si>
  <si>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</si>
  <si>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</si>
  <si>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</si>
  <si>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</si>
  <si>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</si>
  <si>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</si>
  <si>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</si>
  <si>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</si>
  <si>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</si>
  <si>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</si>
  <si>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</si>
  <si>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</si>
  <si>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</si>
  <si>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</si>
  <si>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</si>
  <si>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</si>
  <si>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</si>
  <si>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</si>
  <si>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</si>
  <si>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</si>
  <si>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</si>
  <si>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</si>
  <si>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</si>
  <si>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</si>
  <si>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</si>
  <si>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</si>
  <si>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</si>
  <si>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</si>
  <si>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</si>
  <si>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</si>
  <si>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</si>
  <si>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</si>
  <si>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</si>
  <si>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</si>
  <si>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</si>
  <si>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</si>
  <si>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</si>
  <si>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</si>
  <si>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</si>
  <si>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</si>
  <si>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</si>
  <si>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</si>
  <si>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</si>
  <si>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</si>
  <si>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</si>
  <si>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</si>
  <si>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</si>
  <si>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</si>
  <si>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</si>
  <si>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</si>
  <si>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</si>
  <si>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</si>
  <si>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</si>
  <si>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</si>
  <si>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</si>
  <si>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</si>
  <si>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</si>
  <si>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</si>
  <si>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</si>
  <si>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</si>
  <si>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</si>
  <si>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</si>
  <si>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</si>
  <si>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</si>
  <si>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</si>
  <si>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</si>
  <si>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</si>
  <si>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</si>
  <si>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</si>
  <si>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</si>
  <si>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</si>
  <si>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</si>
  <si>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</si>
  <si>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</si>
  <si>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</si>
  <si>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</si>
  <si>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</si>
  <si>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</si>
  <si>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</si>
  <si>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</si>
  <si>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</si>
  <si>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</si>
  <si>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</si>
  <si>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</si>
  <si>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</si>
  <si>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</si>
  <si>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</si>
  <si>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</si>
  <si>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</si>
  <si>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</si>
  <si>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</si>
  <si>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</si>
  <si>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</si>
  <si>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</si>
  <si>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</si>
  <si>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</si>
  <si>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</si>
  <si>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</si>
  <si>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</si>
  <si>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</si>
  <si>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</si>
  <si>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</si>
  <si>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</si>
  <si>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</si>
  <si>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</si>
  <si>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</si>
  <si>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</si>
  <si>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</si>
  <si>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</si>
  <si>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</si>
  <si>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</si>
  <si>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</si>
  <si>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</si>
  <si>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</si>
  <si>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</si>
  <si>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</si>
  <si>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</si>
  <si>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</si>
  <si>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</si>
  <si>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</si>
  <si>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</si>
  <si>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</si>
  <si>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</si>
  <si>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</si>
  <si>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</si>
  <si>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</si>
  <si>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</si>
  <si>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</si>
  <si>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</si>
  <si>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</si>
  <si>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</si>
  <si>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</si>
  <si>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</si>
  <si>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</si>
  <si>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</si>
  <si>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</si>
  <si>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</si>
  <si>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</si>
  <si>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</si>
  <si>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</si>
  <si>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</si>
  <si>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</si>
  <si>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</si>
  <si>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</si>
  <si>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</si>
  <si>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</si>
  <si>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</si>
  <si>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</si>
  <si>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</si>
  <si>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</si>
  <si>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</si>
  <si>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</si>
  <si>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</si>
  <si>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</si>
  <si>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</si>
  <si>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</si>
  <si>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</si>
  <si>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</si>
  <si>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</si>
  <si>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</si>
  <si>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</si>
  <si>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</si>
  <si>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</si>
  <si>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</si>
  <si>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</si>
  <si>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</si>
  <si>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</si>
  <si>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</si>
  <si>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</si>
  <si>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</si>
  <si>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</si>
  <si>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</si>
  <si>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</si>
  <si>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</si>
  <si>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</si>
  <si>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</si>
  <si>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</si>
  <si>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</si>
  <si>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</si>
  <si>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</si>
  <si>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</si>
  <si>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</si>
  <si>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</si>
  <si>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</si>
  <si>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</si>
  <si>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</si>
  <si>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</si>
  <si>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</si>
  <si>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</si>
  <si>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</si>
  <si>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</si>
  <si>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</si>
  <si>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</si>
  <si>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</si>
  <si>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</si>
  <si>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</si>
  <si>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</si>
  <si>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</si>
  <si>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</si>
  <si>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</si>
  <si>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</si>
  <si>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</si>
  <si>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</si>
  <si>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</si>
  <si>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</si>
  <si>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</si>
  <si>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</si>
  <si>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</si>
  <si>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</si>
  <si>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</si>
  <si>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</si>
  <si>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</si>
  <si>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</si>
  <si>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</si>
  <si>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</si>
  <si>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</si>
  <si>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</si>
  <si>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</si>
  <si>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</si>
  <si>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</si>
  <si>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</si>
  <si>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</si>
  <si>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</si>
  <si>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</si>
  <si>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</si>
  <si>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</si>
  <si>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</si>
  <si>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</si>
  <si>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</si>
  <si>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</si>
  <si>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</si>
  <si>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</si>
  <si>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</si>
  <si>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</si>
  <si>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</si>
  <si>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</si>
  <si>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</si>
  <si>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</si>
  <si>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</si>
  <si>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</si>
  <si>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</si>
  <si>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</si>
  <si>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</si>
  <si>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</si>
  <si>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</si>
  <si>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</si>
  <si>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</si>
  <si>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</si>
  <si>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</si>
  <si>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</si>
  <si>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</si>
  <si>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</si>
  <si>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</si>
  <si>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</si>
  <si>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</si>
  <si>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</si>
  <si>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</si>
  <si>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</si>
  <si>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</si>
  <si>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</si>
  <si>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</si>
  <si>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</si>
  <si>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</si>
  <si>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</si>
  <si>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</si>
  <si>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</si>
  <si>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</si>
  <si>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</si>
  <si>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</si>
  <si>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</si>
  <si>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</si>
  <si>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</si>
  <si>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</si>
  <si>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</si>
  <si>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</si>
  <si>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</si>
  <si>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</si>
  <si>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</si>
  <si>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</si>
  <si>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</si>
  <si>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</si>
  <si>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</si>
  <si>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</si>
  <si>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</si>
  <si>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</si>
  <si>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</si>
  <si>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</si>
  <si>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</si>
  <si>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</si>
  <si>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</si>
  <si>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</si>
  <si>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</si>
  <si>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</si>
  <si>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</si>
  <si>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</si>
  <si>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</si>
  <si>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</si>
  <si>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</si>
  <si>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</si>
  <si>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</si>
  <si>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</si>
  <si>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</si>
  <si>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</si>
  <si>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</si>
  <si>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</si>
  <si>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</si>
  <si>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</si>
  <si>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</si>
  <si>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</si>
  <si>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</si>
  <si>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</si>
  <si>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</si>
  <si>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</si>
  <si>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</si>
  <si>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</si>
  <si>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</si>
  <si>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</si>
  <si>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</si>
  <si>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</si>
  <si>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</si>
  <si>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</si>
  <si>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</si>
  <si>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</si>
  <si>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</si>
  <si>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</si>
  <si>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</si>
  <si>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</si>
  <si>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</si>
  <si>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</si>
  <si>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</si>
  <si>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</si>
  <si>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</si>
  <si>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</si>
  <si>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</si>
  <si>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</si>
  <si>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</si>
  <si>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</si>
  <si>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</si>
  <si>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</si>
  <si>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</si>
  <si>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</si>
  <si>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</si>
  <si>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</si>
  <si>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</si>
  <si>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</si>
  <si>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</si>
  <si>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</si>
  <si>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</si>
  <si>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</si>
  <si>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</si>
  <si>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</si>
  <si>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</si>
  <si>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</si>
  <si>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</si>
  <si>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</si>
  <si>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</si>
  <si>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</si>
  <si>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</si>
  <si>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</si>
  <si>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</si>
  <si>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</si>
  <si>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</si>
  <si>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</si>
  <si>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</si>
  <si>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</si>
  <si>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</si>
  <si>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</si>
  <si>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</si>
  <si>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</si>
  <si>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</si>
  <si>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</si>
  <si>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</si>
  <si>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</si>
  <si>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</si>
  <si>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</si>
  <si>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</si>
  <si>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</si>
  <si>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</si>
  <si>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</si>
  <si>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</si>
  <si>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</si>
  <si>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</si>
  <si>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</si>
  <si>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</si>
  <si>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</si>
  <si>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</si>
  <si>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</si>
  <si>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</si>
  <si>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</si>
  <si>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</si>
  <si>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</si>
  <si>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</si>
  <si>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</si>
  <si>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</si>
  <si>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</si>
  <si>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</si>
  <si>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</si>
  <si>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</si>
  <si>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</si>
  <si>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</si>
  <si>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</si>
  <si>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</si>
  <si>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</si>
  <si>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</si>
  <si>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</si>
  <si>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</si>
  <si>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</si>
  <si>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</si>
  <si>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</si>
  <si>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</si>
  <si>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</si>
  <si>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</si>
  <si>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</si>
  <si>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</si>
  <si>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</si>
  <si>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</si>
  <si>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</si>
  <si>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</si>
  <si>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</si>
  <si>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</si>
  <si>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</si>
  <si>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</si>
  <si>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</si>
  <si>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</si>
  <si>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</si>
  <si>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</si>
  <si>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</si>
  <si>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</si>
  <si>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</si>
  <si>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</si>
  <si>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</si>
  <si>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</si>
  <si>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</si>
  <si>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</si>
  <si>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</si>
  <si>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</si>
  <si>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</si>
  <si>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</si>
  <si>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</si>
  <si>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</si>
  <si>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</si>
  <si>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</si>
  <si>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</si>
  <si>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</si>
  <si>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</si>
  <si>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</si>
  <si>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</si>
  <si>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</si>
  <si>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</si>
  <si>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</si>
  <si>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</si>
  <si>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</si>
  <si>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</si>
  <si>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</si>
  <si>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</si>
  <si>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</si>
  <si>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</si>
  <si>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</si>
  <si>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</si>
  <si>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</si>
  <si>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</si>
  <si>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</si>
  <si>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</si>
  <si>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</si>
  <si>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</si>
  <si>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</si>
  <si>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</si>
  <si>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</si>
  <si>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</si>
  <si>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</si>
  <si>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</si>
  <si>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</si>
  <si>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</si>
  <si>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</si>
  <si>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</si>
  <si>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</si>
  <si>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</si>
  <si>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</si>
  <si>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</si>
  <si>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</si>
  <si>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</si>
  <si>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</si>
  <si>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</si>
  <si>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</si>
  <si>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</si>
  <si>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</si>
  <si>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</si>
  <si>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</si>
  <si>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</si>
  <si>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</si>
  <si>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</si>
  <si>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</si>
  <si>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</si>
  <si>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</si>
  <si>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</si>
  <si>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</si>
  <si>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</si>
  <si>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</si>
  <si>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</si>
  <si>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</si>
  <si>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</si>
  <si>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</si>
  <si>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</si>
  <si>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</si>
  <si>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</si>
  <si>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</si>
  <si>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</si>
  <si>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</si>
  <si>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</si>
  <si>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</si>
  <si>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</si>
  <si>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</si>
  <si>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</si>
  <si>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</si>
  <si>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</si>
  <si>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</si>
  <si>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</si>
  <si>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</si>
  <si>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</si>
  <si>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</si>
  <si>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</si>
  <si>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</si>
  <si>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</si>
  <si>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</si>
  <si>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</si>
  <si>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</si>
  <si>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</si>
  <si>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</si>
  <si>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</si>
  <si>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</si>
  <si>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</si>
  <si>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</si>
  <si>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</si>
  <si>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</si>
  <si>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</si>
  <si>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</si>
  <si>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</si>
  <si>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</si>
  <si>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</si>
  <si>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</si>
  <si>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</si>
  <si>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</si>
  <si>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</si>
  <si>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</si>
  <si>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</si>
  <si>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</si>
  <si>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</si>
  <si>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</si>
  <si>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</si>
  <si>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</si>
  <si>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</si>
  <si>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</si>
  <si>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</si>
  <si>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</si>
  <si>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</si>
  <si>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</si>
  <si>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</si>
  <si>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</si>
  <si>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</si>
  <si>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</si>
  <si>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</si>
  <si>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</si>
  <si>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</si>
  <si>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</si>
  <si>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</si>
  <si>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</si>
  <si>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</si>
  <si>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</si>
  <si>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</si>
  <si>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</si>
  <si>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</si>
  <si>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</si>
  <si>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</si>
  <si>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</si>
  <si>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</si>
  <si>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</si>
  <si>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</si>
  <si>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</si>
  <si>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</si>
  <si>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</si>
  <si>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</si>
  <si>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</si>
  <si>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</si>
  <si>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</si>
  <si>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</si>
  <si>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</si>
  <si>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</si>
  <si>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</si>
  <si>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</si>
  <si>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</si>
  <si>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</si>
  <si>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</si>
  <si>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</si>
  <si>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</si>
  <si>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</si>
  <si>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</si>
  <si>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</si>
  <si>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</si>
  <si>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</si>
  <si>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</si>
  <si>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</si>
  <si>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</si>
  <si>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</si>
  <si>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</si>
  <si>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</si>
  <si>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</si>
  <si>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</si>
  <si>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</si>
  <si>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</si>
  <si>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</si>
  <si>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</si>
  <si>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</si>
  <si>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</si>
  <si>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</si>
  <si>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</si>
  <si>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</si>
  <si>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</si>
  <si>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</si>
  <si>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</si>
  <si>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</si>
  <si>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</si>
  <si>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</si>
  <si>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</si>
  <si>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</si>
  <si>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</si>
  <si>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</si>
  <si>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</si>
  <si>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</si>
  <si>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</si>
  <si>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</si>
  <si>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</si>
  <si>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</si>
  <si>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</si>
  <si>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</si>
  <si>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</si>
  <si>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</si>
  <si>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</si>
  <si>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</si>
  <si>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</si>
  <si>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</si>
  <si>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</si>
  <si>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</si>
  <si>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</si>
  <si>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</si>
  <si>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</si>
  <si>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</si>
  <si>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</si>
  <si>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</si>
  <si>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</si>
  <si>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</si>
  <si>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</si>
  <si>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</si>
  <si>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</si>
  <si>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</si>
  <si>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</si>
  <si>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</si>
  <si>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</si>
  <si>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</si>
  <si>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</si>
  <si>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</si>
  <si>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</si>
  <si>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</si>
  <si>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</si>
  <si>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</si>
  <si>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</si>
  <si>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</si>
  <si>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</si>
  <si>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</si>
  <si>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</si>
  <si>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</si>
  <si>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</si>
  <si>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</si>
  <si>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</si>
  <si>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</si>
  <si>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</si>
  <si>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</si>
  <si>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</si>
  <si>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</si>
  <si>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</si>
  <si>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</si>
  <si>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</si>
  <si>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</si>
  <si>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</si>
  <si>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</si>
  <si>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</si>
  <si>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</si>
  <si>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</si>
  <si>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</si>
  <si>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</si>
  <si>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</si>
  <si>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</si>
  <si>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</si>
  <si>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</si>
  <si>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</si>
  <si>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</si>
  <si>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</si>
  <si>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</si>
  <si>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</si>
  <si>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</si>
  <si>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</si>
  <si>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</si>
  <si>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</si>
  <si>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</si>
  <si>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</si>
  <si>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</si>
  <si>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</si>
  <si>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</si>
  <si>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</si>
  <si>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</si>
  <si>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</si>
  <si>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</si>
  <si>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</si>
  <si>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</si>
  <si>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</si>
  <si>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</si>
  <si>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</si>
  <si>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</si>
  <si>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</si>
  <si>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</si>
  <si>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</si>
  <si>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</si>
  <si>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</si>
  <si>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</si>
  <si>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</si>
  <si>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</si>
  <si>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</si>
  <si>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</si>
  <si>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</si>
  <si>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</si>
  <si>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</si>
  <si>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</si>
  <si>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</si>
  <si>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</si>
  <si>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</si>
  <si>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</si>
  <si>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</si>
  <si>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</si>
  <si>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</si>
  <si>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</si>
  <si>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</si>
  <si>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</si>
  <si>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</si>
  <si>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</si>
  <si>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</si>
  <si>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</si>
  <si>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</si>
  <si>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</si>
  <si>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</si>
  <si>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</si>
  <si>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</si>
  <si>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</si>
  <si>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</si>
  <si>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</si>
  <si>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</si>
  <si>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</si>
  <si>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</si>
  <si>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</si>
  <si>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</si>
  <si>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</si>
  <si>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</si>
  <si>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</si>
  <si>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</si>
  <si>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</si>
  <si>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</si>
  <si>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</si>
  <si>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</si>
  <si>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</si>
  <si>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</si>
  <si>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</si>
  <si>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</si>
  <si>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</si>
  <si>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</si>
  <si>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</si>
  <si>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</si>
  <si>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</si>
  <si>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</si>
  <si>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</si>
  <si>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</si>
  <si>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</si>
  <si>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</si>
  <si>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</si>
  <si>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</si>
  <si>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</si>
  <si>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</si>
  <si>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</si>
  <si>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</si>
  <si>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</si>
  <si>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</si>
  <si>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</si>
  <si>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</si>
  <si>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</si>
  <si>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</si>
  <si>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</si>
  <si>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</si>
  <si>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</si>
  <si>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</si>
  <si>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</si>
  <si>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</si>
  <si>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</si>
  <si>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</si>
  <si>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</si>
  <si>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</si>
  <si>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</si>
  <si>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</si>
  <si>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</si>
  <si>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</si>
  <si>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</si>
  <si>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</si>
  <si>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</si>
  <si>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</si>
  <si>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</si>
  <si>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</si>
  <si>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</si>
  <si>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</si>
  <si>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</si>
  <si>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</si>
  <si>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</si>
  <si>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</si>
  <si>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</si>
  <si>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</si>
  <si>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</si>
  <si>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</si>
  <si>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</si>
  <si>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</si>
  <si>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</si>
  <si>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</si>
  <si>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</si>
  <si>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</si>
  <si>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</si>
  <si>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</si>
  <si>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</si>
  <si>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</si>
  <si>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</si>
  <si>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</si>
  <si>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</si>
  <si>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</si>
  <si>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</si>
  <si>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</si>
  <si>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</si>
  <si>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</si>
  <si>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</si>
  <si>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</si>
  <si>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</si>
  <si>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</si>
  <si>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</si>
  <si>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</si>
  <si>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</si>
  <si>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</si>
  <si>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</si>
  <si>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</si>
  <si>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</si>
  <si>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</si>
  <si>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</si>
  <si>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</si>
  <si>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</si>
  <si>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</si>
  <si>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</si>
  <si>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</si>
  <si>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</si>
  <si>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</si>
  <si>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</si>
  <si>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</si>
  <si>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</si>
  <si>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</si>
  <si>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</si>
  <si>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</si>
  <si>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</si>
  <si>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</si>
  <si>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</si>
  <si>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</si>
  <si>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</si>
  <si>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</si>
  <si>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</si>
  <si>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</si>
  <si>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</si>
  <si>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</si>
  <si>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</si>
  <si>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</si>
  <si>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</si>
  <si>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</si>
  <si>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</si>
  <si>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</si>
  <si>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</si>
  <si>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</si>
  <si>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</si>
  <si>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</si>
  <si>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</si>
  <si>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</si>
  <si>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</si>
  <si>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</si>
  <si>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</si>
  <si>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</si>
  <si>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</si>
  <si>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</si>
  <si>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</si>
  <si>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</si>
  <si>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</si>
  <si>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</si>
  <si>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</si>
  <si>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</si>
  <si>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</si>
  <si>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</si>
  <si>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</si>
  <si>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</si>
  <si>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</si>
  <si>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</si>
  <si>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</si>
  <si>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</si>
  <si>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</si>
  <si>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</si>
  <si>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</si>
  <si>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</si>
  <si>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</si>
  <si>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</si>
  <si>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</si>
  <si>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</si>
  <si>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</si>
  <si>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</si>
  <si>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</si>
  <si>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</si>
  <si>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</si>
  <si>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</si>
  <si>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</si>
  <si>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</si>
  <si>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</si>
  <si>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</si>
  <si>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</si>
  <si>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</si>
  <si>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</si>
  <si>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</si>
  <si>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</si>
  <si>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</si>
  <si>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</si>
  <si>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</si>
  <si>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</si>
  <si>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</si>
  <si>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</si>
  <si>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</si>
  <si>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</si>
  <si>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</si>
  <si>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</si>
  <si>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</si>
  <si>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</si>
  <si>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</si>
  <si>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</si>
  <si>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</si>
  <si>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</si>
  <si>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</si>
  <si>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</si>
  <si>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</si>
  <si>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</si>
  <si>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</si>
  <si>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</si>
  <si>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</si>
  <si>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</si>
  <si>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</si>
  <si>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</si>
  <si>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</si>
  <si>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</si>
  <si>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</si>
  <si>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</si>
  <si>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</si>
  <si>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</si>
  <si>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</si>
  <si>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</si>
  <si>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</si>
  <si>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</si>
  <si>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</si>
  <si>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</si>
  <si>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</si>
  <si>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</si>
  <si>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</si>
  <si>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</si>
  <si>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</si>
  <si>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</si>
  <si>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</si>
  <si>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</si>
  <si>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</si>
  <si>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</si>
  <si>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</si>
  <si>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</si>
  <si>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</si>
  <si>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</si>
  <si>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</si>
  <si>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</si>
  <si>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</si>
  <si>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</si>
  <si>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</si>
  <si>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</si>
  <si>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</si>
  <si>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</si>
  <si>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</si>
  <si>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</si>
  <si>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</si>
  <si>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</si>
  <si>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</si>
  <si>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</si>
  <si>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</si>
  <si>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</si>
  <si>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</si>
  <si>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</si>
  <si>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</si>
  <si>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</si>
  <si>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</si>
  <si>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</si>
  <si>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</si>
  <si>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</si>
  <si>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</si>
  <si>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</si>
  <si>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</si>
  <si>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</si>
  <si>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</si>
  <si>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</si>
  <si>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</si>
  <si>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</si>
  <si>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</si>
  <si>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</si>
  <si>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</si>
  <si>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</si>
  <si>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</si>
  <si>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</si>
  <si>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</si>
  <si>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</si>
  <si>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</si>
  <si>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</si>
  <si>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</si>
  <si>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</si>
  <si>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</si>
  <si>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</si>
  <si>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</si>
  <si>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</si>
  <si>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</si>
  <si>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</si>
  <si>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</si>
  <si>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</si>
  <si>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</si>
  <si>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</si>
  <si>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</si>
  <si>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</si>
  <si>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</si>
  <si>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</si>
  <si>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</si>
  <si>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</si>
  <si>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</si>
  <si>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</si>
  <si>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</si>
  <si>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</si>
  <si>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</si>
  <si>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</si>
  <si>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</si>
  <si>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</si>
  <si>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</si>
  <si>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</si>
  <si>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</si>
  <si>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</si>
  <si>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</si>
  <si>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</si>
  <si>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</si>
  <si>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</si>
  <si>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</si>
  <si>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</si>
  <si>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</si>
  <si>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</si>
  <si>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</si>
  <si>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</si>
  <si>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</si>
  <si>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</si>
  <si>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</si>
  <si>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</si>
  <si>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</si>
  <si>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</si>
  <si>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</si>
  <si>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</si>
  <si>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</si>
  <si>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</si>
  <si>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</si>
  <si>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</si>
  <si>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</si>
  <si>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</si>
  <si>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</si>
  <si>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</si>
  <si>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</si>
  <si>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</si>
  <si>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</si>
  <si>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</si>
  <si>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</si>
  <si>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</si>
  <si>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</si>
  <si>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</si>
  <si>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</si>
  <si>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</si>
  <si>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</si>
  <si>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</si>
  <si>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</si>
  <si>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</si>
  <si>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</si>
  <si>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</si>
  <si>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</si>
  <si>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</si>
  <si>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</si>
  <si>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</si>
  <si>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</si>
  <si>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</si>
  <si>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</si>
  <si>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</si>
  <si>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</si>
  <si>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</si>
  <si>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</si>
  <si>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</si>
  <si>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</si>
  <si>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</si>
  <si>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</si>
  <si>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</si>
  <si>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</si>
  <si>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</si>
  <si>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</si>
  <si>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</si>
  <si>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</si>
  <si>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</si>
  <si>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</si>
  <si>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</si>
  <si>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</si>
  <si>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</si>
  <si>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</si>
  <si>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</si>
  <si>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</si>
  <si>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</si>
  <si>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</si>
  <si>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</si>
  <si>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</si>
  <si>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</si>
  <si>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</si>
  <si>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</si>
  <si>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</si>
  <si>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</si>
  <si>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</si>
  <si>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</si>
  <si>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</si>
  <si>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</si>
  <si>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</si>
  <si>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</si>
  <si>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</si>
  <si>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</si>
  <si>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</si>
  <si>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</si>
  <si>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</si>
  <si>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</si>
  <si>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</si>
  <si>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</si>
  <si>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</si>
  <si>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</si>
  <si>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</si>
  <si>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</si>
  <si>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</si>
  <si>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</si>
  <si>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</si>
  <si>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</si>
  <si>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</si>
  <si>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</si>
  <si>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</si>
  <si>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</si>
  <si>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</si>
  <si>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</si>
  <si>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</si>
  <si>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</si>
  <si>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</si>
  <si>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</si>
  <si>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</si>
  <si>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</si>
  <si>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</si>
  <si>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</si>
  <si>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</si>
  <si>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</si>
  <si>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</si>
  <si>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</si>
  <si>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</si>
  <si>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</si>
  <si>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</si>
  <si>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</si>
  <si>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</si>
  <si>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</si>
  <si>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</si>
  <si>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</si>
  <si>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</si>
  <si>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</si>
  <si>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</si>
  <si>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</si>
  <si>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</si>
  <si>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</si>
  <si>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</si>
  <si>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</si>
  <si>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</si>
  <si>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</si>
  <si>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</si>
  <si>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</si>
  <si>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</si>
  <si>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</si>
  <si>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</si>
  <si>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</si>
  <si>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</si>
  <si>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</si>
  <si>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</si>
  <si>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</si>
  <si>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</si>
  <si>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</si>
  <si>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</si>
  <si>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</si>
  <si>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</si>
  <si>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</si>
  <si>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</si>
  <si>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</si>
  <si>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</si>
  <si>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</si>
  <si>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</si>
  <si>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</si>
  <si>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</si>
  <si>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</si>
  <si>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</si>
  <si>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</si>
  <si>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</si>
  <si>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</si>
  <si>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</si>
  <si>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</si>
  <si>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</si>
  <si>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</si>
  <si>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</si>
  <si>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</si>
  <si>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</si>
  <si>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</si>
  <si>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</si>
  <si>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</si>
  <si>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</si>
  <si>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</si>
  <si>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</si>
  <si>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</si>
  <si>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</si>
  <si>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</si>
  <si>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</si>
  <si>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</si>
  <si>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</si>
  <si>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</si>
  <si>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</si>
  <si>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</si>
  <si>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</si>
  <si>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</si>
  <si>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</si>
  <si>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</si>
  <si>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</si>
  <si>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</si>
  <si>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</si>
  <si>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</si>
  <si>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</si>
  <si>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</si>
  <si>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</si>
  <si>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</si>
  <si>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</si>
  <si>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</si>
  <si>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</si>
  <si>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</si>
  <si>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</si>
  <si>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</si>
  <si>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</si>
  <si>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</si>
  <si>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</si>
  <si>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</si>
  <si>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</si>
  <si>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</si>
  <si>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</si>
  <si>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</si>
  <si>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</si>
  <si>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</si>
  <si>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</si>
  <si>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</si>
  <si>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</si>
  <si>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</si>
  <si>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</si>
  <si>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</si>
  <si>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</si>
  <si>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</si>
  <si>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</si>
  <si>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</si>
  <si>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</si>
  <si>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</si>
  <si>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</si>
  <si>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</si>
  <si>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</si>
  <si>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</si>
  <si>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</si>
  <si>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</si>
  <si>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</si>
  <si>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</si>
  <si>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</si>
  <si>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</si>
  <si>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</si>
  <si>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</si>
  <si>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</si>
  <si>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</si>
  <si>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</si>
  <si>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</si>
  <si>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</si>
  <si>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</si>
  <si>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</si>
  <si>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</si>
  <si>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</si>
  <si>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</si>
  <si>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</si>
  <si>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</si>
  <si>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</si>
  <si>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</si>
  <si>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</si>
  <si>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</si>
  <si>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</si>
  <si>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</si>
  <si>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</si>
  <si>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</si>
  <si>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</si>
  <si>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</si>
  <si>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</si>
  <si>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</si>
  <si>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</si>
  <si>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</si>
  <si>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</si>
  <si>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</si>
  <si>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</si>
  <si>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</si>
  <si>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</si>
  <si>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</si>
  <si>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</si>
  <si>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</si>
  <si>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</si>
  <si>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</si>
  <si>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</si>
  <si>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</si>
  <si>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</si>
  <si>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</si>
  <si>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</si>
  <si>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</si>
  <si>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</si>
  <si>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</si>
  <si>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</si>
  <si>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</si>
  <si>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</si>
  <si>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</si>
  <si>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</si>
  <si>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</si>
  <si>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</si>
  <si>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</si>
  <si>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</si>
  <si>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</si>
  <si>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</si>
  <si>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</si>
  <si>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</si>
  <si>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</si>
  <si>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</si>
  <si>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</si>
  <si>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</si>
  <si>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</si>
  <si>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</si>
  <si>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</si>
  <si>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</si>
  <si>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</si>
  <si>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</si>
  <si>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</si>
  <si>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</si>
  <si>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</si>
  <si>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</si>
  <si>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</si>
  <si>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</si>
  <si>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</si>
  <si>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</si>
  <si>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</si>
  <si>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</si>
  <si>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</si>
  <si>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</si>
  <si>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</si>
  <si>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</si>
  <si>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</si>
  <si>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</si>
  <si>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</si>
  <si>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</si>
  <si>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</si>
  <si>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</si>
  <si>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</si>
  <si>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</si>
  <si>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</si>
  <si>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</si>
  <si>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</si>
  <si>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</si>
  <si>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</si>
  <si>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</si>
  <si>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</si>
  <si>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</si>
  <si>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</si>
  <si>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</si>
  <si>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</si>
  <si>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</si>
  <si>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</si>
  <si>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</si>
  <si>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</si>
  <si>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</si>
  <si>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</si>
  <si>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</si>
  <si>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</si>
  <si>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</si>
  <si>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</si>
  <si>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</si>
  <si>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</si>
  <si>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</si>
  <si>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</si>
  <si>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</si>
  <si>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</si>
  <si>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</si>
  <si>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</si>
  <si>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</si>
  <si>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</si>
  <si>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</si>
  <si>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</si>
  <si>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</si>
  <si>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</si>
  <si>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</si>
  <si>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</si>
  <si>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</si>
  <si>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</si>
  <si>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</si>
  <si>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</si>
  <si>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</si>
  <si>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</si>
  <si>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</si>
  <si>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</si>
  <si>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</si>
  <si>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</si>
  <si>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</si>
  <si>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</si>
  <si>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</si>
  <si>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</si>
  <si>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</si>
  <si>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</si>
  <si>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</si>
  <si>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</si>
  <si>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</si>
  <si>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</si>
  <si>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</si>
  <si>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</si>
  <si>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</si>
  <si>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</si>
  <si>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</si>
  <si>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</si>
  <si>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</si>
  <si>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</si>
  <si>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</si>
  <si>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</si>
  <si>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</si>
  <si>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</si>
  <si>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</si>
  <si>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</si>
  <si>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</si>
  <si>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</si>
  <si>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</si>
  <si>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</si>
  <si>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</si>
  <si>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</si>
  <si>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</si>
  <si>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</si>
  <si>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</si>
  <si>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</si>
  <si>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</si>
  <si>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</si>
  <si>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</si>
  <si>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</si>
  <si>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</si>
  <si>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</si>
  <si>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</si>
  <si>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</si>
  <si>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</si>
  <si>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</si>
  <si>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</si>
  <si>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</si>
  <si>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</si>
  <si>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</si>
  <si>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</si>
  <si>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</si>
  <si>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</si>
  <si>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</si>
  <si>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</si>
  <si>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</si>
  <si>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</si>
  <si>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</si>
  <si>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</si>
  <si>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</si>
  <si>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</si>
  <si>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</si>
  <si>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</si>
  <si>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</si>
  <si>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</si>
  <si>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</si>
  <si>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</si>
  <si>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</si>
  <si>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</si>
  <si>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</si>
  <si>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</si>
  <si>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</si>
  <si>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</si>
  <si>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</si>
  <si>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</si>
  <si>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</si>
  <si>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</si>
  <si>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</si>
  <si>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</si>
  <si>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</si>
  <si>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</si>
  <si>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</si>
  <si>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</si>
  <si>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</si>
  <si>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</si>
  <si>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</si>
  <si>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</si>
  <si>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</si>
  <si>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</si>
  <si>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</si>
  <si>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</si>
  <si>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</si>
  <si>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</si>
  <si>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</si>
  <si>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</si>
  <si>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</si>
  <si>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</si>
  <si>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</si>
  <si>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</si>
  <si>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</si>
  <si>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</si>
  <si>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</si>
  <si>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</si>
  <si>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</si>
  <si>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</si>
  <si>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</si>
  <si>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</si>
  <si>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</si>
  <si>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</si>
  <si>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</si>
  <si>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</si>
  <si>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</si>
  <si>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</si>
  <si>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</si>
  <si>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</si>
  <si>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</si>
  <si>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</si>
  <si>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</si>
  <si>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</si>
  <si>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</si>
  <si>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</si>
  <si>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</si>
  <si>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</si>
  <si>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</si>
  <si>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</si>
  <si>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</si>
  <si>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</si>
  <si>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</si>
  <si>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</si>
  <si>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</si>
  <si>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</si>
  <si>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</si>
  <si>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</si>
  <si>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</si>
  <si>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</si>
  <si>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</si>
  <si>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</si>
  <si>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</si>
  <si>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</si>
  <si>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</si>
  <si>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</si>
  <si>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</si>
  <si>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</si>
  <si>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</si>
  <si>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</si>
  <si>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</si>
  <si>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</si>
  <si>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</si>
  <si>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</si>
  <si>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</si>
  <si>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</si>
  <si>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</si>
  <si>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</si>
  <si>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</si>
  <si>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</si>
  <si>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</si>
  <si>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</si>
  <si>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</si>
  <si>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</si>
  <si>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</si>
  <si>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</si>
  <si>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</si>
  <si>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</si>
  <si>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</si>
  <si>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</si>
  <si>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</si>
  <si>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</si>
  <si>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</si>
  <si>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</si>
  <si>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</si>
  <si>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</si>
  <si>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</si>
  <si>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</si>
  <si>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</si>
  <si>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</si>
  <si>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</si>
  <si>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</si>
  <si>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</si>
  <si>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</si>
  <si>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</si>
  <si>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</si>
  <si>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</si>
  <si>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</si>
  <si>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</si>
  <si>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</si>
  <si>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</si>
  <si>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</si>
  <si>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</si>
  <si>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</si>
  <si>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</si>
  <si>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</si>
  <si>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</si>
  <si>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</si>
  <si>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</si>
  <si>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</si>
  <si>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</si>
  <si>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</si>
  <si>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</si>
  <si>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</si>
  <si>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</si>
  <si>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</si>
  <si>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</si>
  <si>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</si>
  <si>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</si>
  <si>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</si>
  <si>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</si>
  <si>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</si>
  <si>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</si>
  <si>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</si>
  <si>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</si>
  <si>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</si>
  <si>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</si>
  <si>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</si>
  <si>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</si>
  <si>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</si>
  <si>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</si>
  <si>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</si>
  <si>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</si>
  <si>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</si>
  <si>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</si>
  <si>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</si>
  <si>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</si>
  <si>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</si>
  <si>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</si>
  <si>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</si>
  <si>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</si>
  <si>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</si>
  <si>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</si>
  <si>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</si>
  <si>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</si>
  <si>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</si>
  <si>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</si>
  <si>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</si>
  <si>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</si>
  <si>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</si>
  <si>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</si>
  <si>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</si>
  <si>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</si>
  <si>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</si>
  <si>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</si>
  <si>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</si>
  <si>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</si>
  <si>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</si>
  <si>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</si>
  <si>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</si>
  <si>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</si>
  <si>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</si>
  <si>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</si>
  <si>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</si>
  <si>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</si>
  <si>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</si>
  <si>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</si>
  <si>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</si>
  <si>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</si>
  <si>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</si>
  <si>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</si>
  <si>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</si>
  <si>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</si>
  <si>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</si>
  <si>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</si>
  <si>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</si>
  <si>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</si>
  <si>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</si>
  <si>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</si>
  <si>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</si>
  <si>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</si>
  <si>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</si>
  <si>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</si>
  <si>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</si>
  <si>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</si>
  <si>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</si>
  <si>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</si>
  <si>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</si>
  <si>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</si>
  <si>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</si>
  <si>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</si>
  <si>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</si>
  <si>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</si>
  <si>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</si>
  <si>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</si>
  <si>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</si>
  <si>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</si>
  <si>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</si>
  <si>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</si>
  <si>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</si>
  <si>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</si>
  <si>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</si>
  <si>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</si>
  <si>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</si>
  <si>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</si>
  <si>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</si>
  <si>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</si>
  <si>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</si>
  <si>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</si>
  <si>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</si>
  <si>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</si>
  <si>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</si>
  <si>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</si>
  <si>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</si>
  <si>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</si>
  <si>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</si>
  <si>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</si>
  <si>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</si>
  <si>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</si>
  <si>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</si>
  <si>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</si>
  <si>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</si>
  <si>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</si>
  <si>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</si>
  <si>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</si>
  <si>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</si>
  <si>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</si>
  <si>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</si>
  <si>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</si>
  <si>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</si>
  <si>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</si>
  <si>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</si>
  <si>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</si>
  <si>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</si>
  <si>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</si>
  <si>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</si>
  <si>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</si>
  <si>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</si>
  <si>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</si>
  <si>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</si>
  <si>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</si>
  <si>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</si>
  <si>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</si>
  <si>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</si>
  <si>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</si>
  <si>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</si>
  <si>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</si>
  <si>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</si>
  <si>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</si>
  <si>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</si>
  <si>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</si>
  <si>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</si>
  <si>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</si>
  <si>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</si>
  <si>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</si>
  <si>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</si>
  <si>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</si>
  <si>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</si>
  <si>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</si>
  <si>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</si>
  <si>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</si>
  <si>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</si>
  <si>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</si>
  <si>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</si>
  <si>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</si>
  <si>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</si>
  <si>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</si>
  <si>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</si>
  <si>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</si>
  <si>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</si>
  <si>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</si>
  <si>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</si>
  <si>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</si>
  <si>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</si>
  <si>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</si>
  <si>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</si>
  <si>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</si>
  <si>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</si>
  <si>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</si>
  <si>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</si>
  <si>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</si>
  <si>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</si>
  <si>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</si>
  <si>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</si>
  <si>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</si>
  <si>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</si>
  <si>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</si>
  <si>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</si>
  <si>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</si>
  <si>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</si>
  <si>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</si>
  <si>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</si>
  <si>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</si>
  <si>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</si>
  <si>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</si>
  <si>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</si>
  <si>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</si>
  <si>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</si>
  <si>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</si>
  <si>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</si>
  <si>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</si>
  <si>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</si>
  <si>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</si>
  <si>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</si>
  <si>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</si>
  <si>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</si>
  <si>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</si>
  <si>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</si>
  <si>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</si>
  <si>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</si>
  <si>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</si>
  <si>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</si>
  <si>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</si>
  <si>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</si>
  <si>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</si>
  <si>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</si>
  <si>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</si>
  <si>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</si>
  <si>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</si>
  <si>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</si>
  <si>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</si>
  <si>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</si>
  <si>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</si>
  <si>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</si>
  <si>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</si>
  <si>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</si>
  <si>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</si>
  <si>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</si>
  <si>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</si>
  <si>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</si>
  <si>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</si>
  <si>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</si>
  <si>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</si>
  <si>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</si>
  <si>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</si>
  <si>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</si>
  <si>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</si>
  <si>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</si>
  <si>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</si>
  <si>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</si>
  <si>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</si>
  <si>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</si>
  <si>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</si>
  <si>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</si>
  <si>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</si>
  <si>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</si>
  <si>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</si>
  <si>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</si>
  <si>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</si>
  <si>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</si>
  <si>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</si>
  <si>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</si>
  <si>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</si>
  <si>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</si>
  <si>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</si>
  <si>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</si>
  <si>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</si>
  <si>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</si>
  <si>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</si>
  <si>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</si>
  <si>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</si>
  <si>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</si>
  <si>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</si>
  <si>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</si>
  <si>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</si>
  <si>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</si>
  <si>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</si>
  <si>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</si>
  <si>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</si>
  <si>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</si>
  <si>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</si>
  <si>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</si>
  <si>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</si>
  <si>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</si>
  <si>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</si>
  <si>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</si>
  <si>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</si>
  <si>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</si>
  <si>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</si>
  <si>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</si>
  <si>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</si>
  <si>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</si>
  <si>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</si>
  <si>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</si>
  <si>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</si>
  <si>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</si>
  <si>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</si>
  <si>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</si>
  <si>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</si>
  <si>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</si>
  <si>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</si>
  <si>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</si>
  <si>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</si>
  <si>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</si>
  <si>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</si>
  <si>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</si>
  <si>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</si>
  <si>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</si>
  <si>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</si>
  <si>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</si>
  <si>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</si>
  <si>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</si>
  <si>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</si>
  <si>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</si>
  <si>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</si>
  <si>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</si>
  <si>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</si>
  <si>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</si>
  <si>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</si>
  <si>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</si>
  <si>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</si>
  <si>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</si>
  <si>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</si>
  <si>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</si>
  <si>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</si>
  <si>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</si>
  <si>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</si>
  <si>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</si>
  <si>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</si>
  <si>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</si>
  <si>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</si>
  <si>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</si>
  <si>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</si>
  <si>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</si>
  <si>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</si>
  <si>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</si>
  <si>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</si>
  <si>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</si>
  <si>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</si>
  <si>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</si>
  <si>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</si>
  <si>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</si>
  <si>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</si>
  <si>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</si>
  <si>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</si>
  <si>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</si>
  <si>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</si>
  <si>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</si>
  <si>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</si>
  <si>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</si>
  <si>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</si>
  <si>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</si>
  <si>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</si>
  <si>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</si>
  <si>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</si>
  <si>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</si>
  <si>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</si>
  <si>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</si>
  <si>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</si>
  <si>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</si>
  <si>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</si>
  <si>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</si>
  <si>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</si>
  <si>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</si>
  <si>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</si>
  <si>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</si>
  <si>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</si>
  <si>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</si>
  <si>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</si>
  <si>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</si>
  <si>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</si>
  <si>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</si>
  <si>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</si>
  <si>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</si>
  <si>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</si>
  <si>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</si>
  <si>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</si>
  <si>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</si>
  <si>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</si>
  <si>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</si>
  <si>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</si>
  <si>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</si>
  <si>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</si>
  <si>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</si>
  <si>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</si>
  <si>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</si>
  <si>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</si>
  <si>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</si>
  <si>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</si>
  <si>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</si>
  <si>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</si>
  <si>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</si>
  <si>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</si>
  <si>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</si>
  <si>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</si>
  <si>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</si>
  <si>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</si>
  <si>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</si>
  <si>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</si>
  <si>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</si>
  <si>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</si>
  <si>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</si>
  <si>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</si>
  <si>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</si>
  <si>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</si>
  <si>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</si>
  <si>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</si>
  <si>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</si>
  <si>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</si>
  <si>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</si>
  <si>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</si>
  <si>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</si>
  <si>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</si>
  <si>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</si>
  <si>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</si>
  <si>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</si>
  <si>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</si>
  <si>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</si>
  <si>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</si>
  <si>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</si>
  <si>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</si>
  <si>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</si>
  <si>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</si>
  <si>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</si>
  <si>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</si>
  <si>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</si>
  <si>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</si>
  <si>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</si>
  <si>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</si>
  <si>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</si>
  <si>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</si>
  <si>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</si>
  <si>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</si>
  <si>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</si>
  <si>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</si>
  <si>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</si>
  <si>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</si>
  <si>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</si>
  <si>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</si>
  <si>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</si>
  <si>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</si>
  <si>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</si>
  <si>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</si>
  <si>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</si>
  <si>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</si>
  <si>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</si>
  <si>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</si>
  <si>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</si>
  <si>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</si>
  <si>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</si>
  <si>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</si>
  <si>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</si>
  <si>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</si>
  <si>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</si>
  <si>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</si>
  <si>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</si>
  <si>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</si>
  <si>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</si>
  <si>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</si>
  <si>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</si>
  <si>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</si>
  <si>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</si>
  <si>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</si>
  <si>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</si>
  <si>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</si>
  <si>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</si>
  <si>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</si>
  <si>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</si>
  <si>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</si>
  <si>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</si>
  <si>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</si>
  <si>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</si>
  <si>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</si>
  <si>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</si>
  <si>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</si>
  <si>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</si>
  <si>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</si>
  <si>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</si>
  <si>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</si>
  <si>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</si>
  <si>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</si>
  <si>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</si>
  <si>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</si>
  <si>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</si>
  <si>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</si>
  <si>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</si>
  <si>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</si>
  <si>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</si>
  <si>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</si>
  <si>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</si>
  <si>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</si>
  <si>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</si>
  <si>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</si>
  <si>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</si>
  <si>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</si>
  <si>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</si>
  <si>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</si>
  <si>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</si>
  <si>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</si>
  <si>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</si>
  <si>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</si>
  <si>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</si>
  <si>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</si>
  <si>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</si>
  <si>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</si>
  <si>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</si>
  <si>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</si>
  <si>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</si>
  <si>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</si>
  <si>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</si>
  <si>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</si>
  <si>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</si>
  <si>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</si>
  <si>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</si>
  <si>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</si>
  <si>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</si>
  <si>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</si>
  <si>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</si>
  <si>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</si>
  <si>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</si>
  <si>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</si>
  <si>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</si>
  <si>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</si>
  <si>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</si>
  <si>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</si>
  <si>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</si>
  <si>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</si>
  <si>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</si>
  <si>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</si>
  <si>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</si>
  <si>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</si>
  <si>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</si>
  <si>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</si>
  <si>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</si>
  <si>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</si>
  <si>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</si>
  <si>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</si>
  <si>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</si>
  <si>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</si>
  <si>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</si>
  <si>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</si>
  <si>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</si>
  <si>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</si>
  <si>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</si>
  <si>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</si>
  <si>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</si>
  <si>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</si>
  <si>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</si>
  <si>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</si>
  <si>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</si>
  <si>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</si>
  <si>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</si>
  <si>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</si>
  <si>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</si>
  <si>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</si>
  <si>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</si>
  <si>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</si>
  <si>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</si>
  <si>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</si>
  <si>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</si>
  <si>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</si>
  <si>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</si>
  <si>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</si>
  <si>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</si>
  <si>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</si>
  <si>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</si>
  <si>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</si>
  <si>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</si>
  <si>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</si>
  <si>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</si>
  <si>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</si>
  <si>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</si>
  <si>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</si>
  <si>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</si>
  <si>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</si>
  <si>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</si>
  <si>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</si>
  <si>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</si>
  <si>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</si>
  <si>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</si>
  <si>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</si>
  <si>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</si>
  <si>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</si>
  <si>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</si>
  <si>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</si>
  <si>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</si>
  <si>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</si>
  <si>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</si>
  <si>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</si>
  <si>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</si>
  <si>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</si>
  <si>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</si>
  <si>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</si>
  <si>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</si>
  <si>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</si>
  <si>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</si>
  <si>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</si>
  <si>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</si>
  <si>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</si>
  <si>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</si>
  <si>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</si>
  <si>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</si>
  <si>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</si>
  <si>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</si>
  <si>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</si>
  <si>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</si>
  <si>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</si>
  <si>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</si>
  <si>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</si>
  <si>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</si>
  <si>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</si>
  <si>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</si>
  <si>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</si>
  <si>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</si>
  <si>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</si>
  <si>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</si>
  <si>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</si>
  <si>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</si>
  <si>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</si>
  <si>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</si>
  <si>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</si>
  <si>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</si>
  <si>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</si>
  <si>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</si>
  <si>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</si>
  <si>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</si>
  <si>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</si>
  <si>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</si>
  <si>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</si>
  <si>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</si>
  <si>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</si>
  <si>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</si>
  <si>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</si>
  <si>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</si>
  <si>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</si>
  <si>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</si>
  <si>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</si>
  <si>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</si>
  <si>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</si>
  <si>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</si>
  <si>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</si>
  <si>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</si>
  <si>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</si>
  <si>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</si>
  <si>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</si>
  <si>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</si>
  <si>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</si>
  <si>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</si>
  <si>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</si>
  <si>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</si>
  <si>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</si>
  <si>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</si>
  <si>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</si>
  <si>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</si>
  <si>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</si>
  <si>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</si>
  <si>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</si>
  <si>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</si>
  <si>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</si>
  <si>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</si>
  <si>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</si>
  <si>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</si>
  <si>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</si>
  <si>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</si>
  <si>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</si>
  <si>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</si>
  <si>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</si>
  <si>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</si>
  <si>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</si>
  <si>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</si>
  <si>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</si>
  <si>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</si>
  <si>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</si>
  <si>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</si>
  <si>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</si>
  <si>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</si>
  <si>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</si>
  <si>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</si>
  <si>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</si>
  <si>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</si>
  <si>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</si>
  <si>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</si>
  <si>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</si>
  <si>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</si>
  <si>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</si>
  <si>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</si>
  <si>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</si>
  <si>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</si>
  <si>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</si>
  <si>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</si>
  <si>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</si>
  <si>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</si>
  <si>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</si>
  <si>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</si>
  <si>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</si>
  <si>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</si>
  <si>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</si>
  <si>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</si>
  <si>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</si>
  <si>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</si>
  <si>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</si>
  <si>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</si>
  <si>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</si>
  <si>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</si>
  <si>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</si>
  <si>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</si>
  <si>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</si>
  <si>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</si>
  <si>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</si>
  <si>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</si>
  <si>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</si>
  <si>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</si>
  <si>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</si>
  <si>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</si>
  <si>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</si>
  <si>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</si>
  <si>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</si>
  <si>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</si>
  <si>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</si>
  <si>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</si>
  <si>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</si>
  <si>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</si>
  <si>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</si>
  <si>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</si>
  <si>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</si>
  <si>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</si>
  <si>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</si>
  <si>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</si>
  <si>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</si>
  <si>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</si>
  <si>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</si>
  <si>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</si>
  <si>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</si>
  <si>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</si>
  <si>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</si>
  <si>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</si>
  <si>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</si>
  <si>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</si>
  <si>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</si>
  <si>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</si>
  <si>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</si>
  <si>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</si>
  <si>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</si>
  <si>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</si>
  <si>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</si>
  <si>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</si>
  <si>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</si>
  <si>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</si>
  <si>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</si>
  <si>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</si>
  <si>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</si>
  <si>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</si>
  <si>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</si>
  <si>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</si>
  <si>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</si>
  <si>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</si>
  <si>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</si>
  <si>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</si>
  <si>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</si>
  <si>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</si>
  <si>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</si>
  <si>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</si>
  <si>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</si>
  <si>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</si>
  <si>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</si>
  <si>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</si>
  <si>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</si>
  <si>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</si>
  <si>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</si>
  <si>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</si>
  <si>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</si>
  <si>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</si>
  <si>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</si>
  <si>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</si>
  <si>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</si>
  <si>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</si>
  <si>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</si>
  <si>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</si>
  <si>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</si>
  <si>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</si>
  <si>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</si>
  <si>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</si>
  <si>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</si>
  <si>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</si>
  <si>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</si>
  <si>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</si>
  <si>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</si>
  <si>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</si>
  <si>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</si>
  <si>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</si>
  <si>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</si>
  <si>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</si>
  <si>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</si>
  <si>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</si>
  <si>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</si>
  <si>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</si>
  <si>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</si>
  <si>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</si>
  <si>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</si>
  <si>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</si>
  <si>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</si>
  <si>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</si>
  <si>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</si>
  <si>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</si>
  <si>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</si>
  <si>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</si>
  <si>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</si>
  <si>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</si>
  <si>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</si>
  <si>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</si>
  <si>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</si>
  <si>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</si>
  <si>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</si>
  <si>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</si>
  <si>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</si>
  <si>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</si>
  <si>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</si>
  <si>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</si>
  <si>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</si>
  <si>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</si>
  <si>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</si>
  <si>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</si>
  <si>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</si>
  <si>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</si>
  <si>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</si>
  <si>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</si>
  <si>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</si>
  <si>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</si>
  <si>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</si>
  <si>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</si>
  <si>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</si>
  <si>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</si>
  <si>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</si>
  <si>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</si>
  <si>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</si>
  <si>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</si>
  <si>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</si>
  <si>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</si>
  <si>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</si>
  <si>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</si>
  <si>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</si>
  <si>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</si>
  <si>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</si>
  <si>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</si>
  <si>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</si>
  <si>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</si>
  <si>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</si>
  <si>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</si>
  <si>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</si>
  <si>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</si>
  <si>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</si>
  <si>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</si>
  <si>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</si>
  <si>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</si>
  <si>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</si>
  <si>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</si>
  <si>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</si>
  <si>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</si>
  <si>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</si>
  <si>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</si>
  <si>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</si>
  <si>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</si>
  <si>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</si>
  <si>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</si>
  <si>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</si>
  <si>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</si>
  <si>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</si>
  <si>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</si>
  <si>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</si>
  <si>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</si>
  <si>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</si>
  <si>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</si>
  <si>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</si>
  <si>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</si>
  <si>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</si>
  <si>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</si>
  <si>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</si>
  <si>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</si>
  <si>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</si>
  <si>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</si>
  <si>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</si>
  <si>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</si>
  <si>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</si>
  <si>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</si>
  <si>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</si>
  <si>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</si>
  <si>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</si>
  <si>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</si>
  <si>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</si>
  <si>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</si>
  <si>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</si>
  <si>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</si>
  <si>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</si>
  <si>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</si>
  <si>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</si>
  <si>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</si>
  <si>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</si>
  <si>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</si>
  <si>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</si>
  <si>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</si>
  <si>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</si>
  <si>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</si>
  <si>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</si>
  <si>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</si>
  <si>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</si>
  <si>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</si>
  <si>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</si>
  <si>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</si>
  <si>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</si>
  <si>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</si>
  <si>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</si>
  <si>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</si>
  <si>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</si>
  <si>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</si>
  <si>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</si>
  <si>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</si>
  <si>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</si>
  <si>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</si>
  <si>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</si>
  <si>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</si>
  <si>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</si>
  <si>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</si>
  <si>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</si>
  <si>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</si>
  <si>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</si>
  <si>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</si>
  <si>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</si>
  <si>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</si>
  <si>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</si>
  <si>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</si>
  <si>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</si>
  <si>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</si>
  <si>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</si>
  <si>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</si>
  <si>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</si>
  <si>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</si>
  <si>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</si>
  <si>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</si>
  <si>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</si>
  <si>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</si>
  <si>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</si>
  <si>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</si>
  <si>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</si>
  <si>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</si>
  <si>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</si>
  <si>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</si>
  <si>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</si>
  <si>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</si>
  <si>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</si>
  <si>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</si>
  <si>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</si>
  <si>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</si>
  <si>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</si>
  <si>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</si>
  <si>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</si>
  <si>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</si>
  <si>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</si>
  <si>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</si>
  <si>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</si>
  <si>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</si>
  <si>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</si>
  <si>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</si>
  <si>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</si>
  <si>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</si>
  <si>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</si>
  <si>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</si>
  <si>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</si>
  <si>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</si>
  <si>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</si>
  <si>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</si>
  <si>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</si>
  <si>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</si>
  <si>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</si>
  <si>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</si>
  <si>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</si>
  <si>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</si>
  <si>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</si>
  <si>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</si>
  <si>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</si>
  <si>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</si>
  <si>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</si>
  <si>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</si>
  <si>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</si>
  <si>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</si>
  <si>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</si>
  <si>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</si>
  <si>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</si>
  <si>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</si>
  <si>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</si>
  <si>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</si>
  <si>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</si>
  <si>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</si>
  <si>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</si>
  <si>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</si>
  <si>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</si>
  <si>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</si>
  <si>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</si>
  <si>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</si>
  <si>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</si>
  <si>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</si>
  <si>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</si>
  <si>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</si>
  <si>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</si>
  <si>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</si>
  <si>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</si>
  <si>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</si>
  <si>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</si>
  <si>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</si>
  <si>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</si>
  <si>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</si>
  <si>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</si>
  <si>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</si>
  <si>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</si>
  <si>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</si>
  <si>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</si>
  <si>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</si>
  <si>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</si>
  <si>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</si>
  <si>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</si>
  <si>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</si>
  <si>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</si>
  <si>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</si>
  <si>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</si>
  <si>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</si>
  <si>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</si>
  <si>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</si>
  <si>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</si>
  <si>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</si>
  <si>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</si>
  <si>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</si>
  <si>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</si>
  <si>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</si>
  <si>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</si>
  <si>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</si>
  <si>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</si>
  <si>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</si>
  <si>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</si>
  <si>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</si>
  <si>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</si>
  <si>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</si>
  <si>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</si>
  <si>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</si>
  <si>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</si>
  <si>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</si>
  <si>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</si>
  <si>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</si>
  <si>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</si>
  <si>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</si>
  <si>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</si>
  <si>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</si>
  <si>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</si>
  <si>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</si>
  <si>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</si>
  <si>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</si>
  <si>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</si>
  <si>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</si>
  <si>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</si>
  <si>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</si>
  <si>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</si>
  <si>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</si>
  <si>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</si>
  <si>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</si>
  <si>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</si>
  <si>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</si>
  <si>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</si>
  <si>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</si>
  <si>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</si>
  <si>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</si>
  <si>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</si>
  <si>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</si>
  <si>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</si>
  <si>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</si>
  <si>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</si>
  <si>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</si>
  <si>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</si>
  <si>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</si>
  <si>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</si>
  <si>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</si>
  <si>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</si>
  <si>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</si>
  <si>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</si>
  <si>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</si>
  <si>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</si>
  <si>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</si>
  <si>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</si>
  <si>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</si>
  <si>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</si>
  <si>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</si>
  <si>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</si>
  <si>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</si>
  <si>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</si>
  <si>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</si>
  <si>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</si>
  <si>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</si>
  <si>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</si>
  <si>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</si>
  <si>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</si>
  <si>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</si>
  <si>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</si>
  <si>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</si>
  <si>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</si>
  <si>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</si>
  <si>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</si>
  <si>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</si>
  <si>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</si>
  <si>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</si>
  <si>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</si>
  <si>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</si>
  <si>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</si>
  <si>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</si>
  <si>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</si>
  <si>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</si>
  <si>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</si>
  <si>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</si>
  <si>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</si>
  <si>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</si>
  <si>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</si>
  <si>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</si>
  <si>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</si>
  <si>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</si>
  <si>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</si>
  <si>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</si>
  <si>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</si>
  <si>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</si>
  <si>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</si>
  <si>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</si>
  <si>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</si>
  <si>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</si>
  <si>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</si>
  <si>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</si>
  <si>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</si>
  <si>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</si>
  <si>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</si>
  <si>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</si>
  <si>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</si>
  <si>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</si>
  <si>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</si>
  <si>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</si>
  <si>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</si>
  <si>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</si>
  <si>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</si>
  <si>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</si>
  <si>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</si>
  <si>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</si>
  <si>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</si>
  <si>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</si>
  <si>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</si>
  <si>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</si>
  <si>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</si>
  <si>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</si>
  <si>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</si>
  <si>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</si>
  <si>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</si>
  <si>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</si>
  <si>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</si>
  <si>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</si>
  <si>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</si>
  <si>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</si>
  <si>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</si>
  <si>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</si>
  <si>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</si>
  <si>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</si>
  <si>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</si>
  <si>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</si>
  <si>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</si>
  <si>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</si>
  <si>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</si>
  <si>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</si>
  <si>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</si>
  <si>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</si>
  <si>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</si>
  <si>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</si>
  <si>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</si>
  <si>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</si>
  <si>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</si>
  <si>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</si>
  <si>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</si>
  <si>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</si>
  <si>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</si>
  <si>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</si>
  <si>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</si>
  <si>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</si>
  <si>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</si>
  <si>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</si>
  <si>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</si>
  <si>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</si>
  <si>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</si>
  <si>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</si>
  <si>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</si>
  <si>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</si>
  <si>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</si>
  <si>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</si>
  <si>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</si>
  <si>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</si>
  <si>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</si>
  <si>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</si>
  <si>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</si>
  <si>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</si>
  <si>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</si>
  <si>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</si>
  <si>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</si>
  <si>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</si>
  <si>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</si>
  <si>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</si>
  <si>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</si>
  <si>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</si>
  <si>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</si>
  <si>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</si>
  <si>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</si>
  <si>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</si>
  <si>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</si>
  <si>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</si>
  <si>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</si>
  <si>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</si>
  <si>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</si>
  <si>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</si>
  <si>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</si>
  <si>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</si>
  <si>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</si>
  <si>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</si>
  <si>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</si>
  <si>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</si>
  <si>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</si>
  <si>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</si>
  <si>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</si>
  <si>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</si>
  <si>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</si>
  <si>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</si>
  <si>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</si>
  <si>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</si>
  <si>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</si>
  <si>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</si>
  <si>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</si>
  <si>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</si>
  <si>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</si>
  <si>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</si>
  <si>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</si>
  <si>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</si>
  <si>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</si>
  <si>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</si>
  <si>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</si>
  <si>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</si>
  <si>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</si>
  <si>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</si>
  <si>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</si>
  <si>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</si>
  <si>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</si>
  <si>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</si>
  <si>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</si>
  <si>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</si>
  <si>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</si>
  <si>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</si>
  <si>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</si>
  <si>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</si>
  <si>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</si>
  <si>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</si>
  <si>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</si>
  <si>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</si>
  <si>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</si>
  <si>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</si>
  <si>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</si>
  <si>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</si>
  <si>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</si>
  <si>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</si>
  <si>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</si>
  <si>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</si>
  <si>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</si>
  <si>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</si>
  <si>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</si>
  <si>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</si>
  <si>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</si>
  <si>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</si>
  <si>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</si>
  <si>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</si>
  <si>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</si>
  <si>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</si>
  <si>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</si>
  <si>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</si>
  <si>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</si>
  <si>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</si>
  <si>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</si>
  <si>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</si>
  <si>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</si>
  <si>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</si>
  <si>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</si>
  <si>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</si>
  <si>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</si>
  <si>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</si>
  <si>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</si>
  <si>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</si>
  <si>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</si>
  <si>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</si>
  <si>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</si>
  <si>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</si>
  <si>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</si>
  <si>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</si>
  <si>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</si>
  <si>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</si>
  <si>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</si>
  <si>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</si>
  <si>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</si>
  <si>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</si>
  <si>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</si>
  <si>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</si>
  <si>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</si>
  <si>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</si>
  <si>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</si>
  <si>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</si>
  <si>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</si>
  <si>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</si>
  <si>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</si>
  <si>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</si>
  <si>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</si>
  <si>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</si>
  <si>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</si>
  <si>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</si>
  <si>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</si>
  <si>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</si>
  <si>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</si>
  <si>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</si>
  <si>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</si>
  <si>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</si>
  <si>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</si>
  <si>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</si>
  <si>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</si>
  <si>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</si>
  <si>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</si>
  <si>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</si>
  <si>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</si>
  <si>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</si>
  <si>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</si>
  <si>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</si>
  <si>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</si>
  <si>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</si>
  <si>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</si>
  <si>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</si>
  <si>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</si>
  <si>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</si>
  <si>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</si>
  <si>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</si>
  <si>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</si>
  <si>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</si>
  <si>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</si>
  <si>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</si>
  <si>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</si>
  <si>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</si>
  <si>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</si>
  <si>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</si>
  <si>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</si>
  <si>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</si>
  <si>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</si>
  <si>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</si>
  <si>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</si>
  <si>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</si>
  <si>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</si>
  <si>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</si>
  <si>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</si>
  <si>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</si>
  <si>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</si>
  <si>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</si>
  <si>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</si>
  <si>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</si>
  <si>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</si>
  <si>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</si>
  <si>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</si>
  <si>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</si>
  <si>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</si>
  <si>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</si>
  <si>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</si>
  <si>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</si>
  <si>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</si>
  <si>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</si>
  <si>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</si>
  <si>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</si>
  <si>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</si>
  <si>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</si>
  <si>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</si>
  <si>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</si>
  <si>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</si>
  <si>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</si>
  <si>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</si>
  <si>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</si>
  <si>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</si>
  <si>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</si>
  <si>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</si>
  <si>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</si>
  <si>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</si>
  <si>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</si>
  <si>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</si>
  <si>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</si>
  <si>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</si>
  <si>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</si>
  <si>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</si>
  <si>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</si>
  <si>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</si>
  <si>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</si>
  <si>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</si>
  <si>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</si>
  <si>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</si>
  <si>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</si>
  <si>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</si>
  <si>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</si>
  <si>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</si>
  <si>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</si>
  <si>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</si>
  <si>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</si>
  <si>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</si>
  <si>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</si>
  <si>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</si>
  <si>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</si>
  <si>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</si>
  <si>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</si>
  <si>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</si>
  <si>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</si>
  <si>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</si>
  <si>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</si>
  <si>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</si>
  <si>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</si>
  <si>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</si>
  <si>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</si>
  <si>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</si>
  <si>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</si>
  <si>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</si>
  <si>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</si>
  <si>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</si>
  <si>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</si>
  <si>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</si>
  <si>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</si>
  <si>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</si>
  <si>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</si>
  <si>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</si>
  <si>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</si>
  <si>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</si>
  <si>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</si>
  <si>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</si>
  <si>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</si>
  <si>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</si>
  <si>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</si>
  <si>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</si>
  <si>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</si>
  <si>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</si>
  <si>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</si>
  <si>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</si>
  <si>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</si>
  <si>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</si>
  <si>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</si>
  <si>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</si>
  <si>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</si>
  <si>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</si>
  <si>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</si>
  <si>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</si>
  <si>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</si>
  <si>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</si>
  <si>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</si>
  <si>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</si>
  <si>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</si>
  <si>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</si>
  <si>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</si>
  <si>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</si>
  <si>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</si>
  <si>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</si>
  <si>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</si>
  <si>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</si>
  <si>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</si>
  <si>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</si>
  <si>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</si>
  <si>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</si>
  <si>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</si>
  <si>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</si>
  <si>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</si>
  <si>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</si>
  <si>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</si>
  <si>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</si>
  <si>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</si>
  <si>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</si>
  <si>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</si>
  <si>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</si>
  <si>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</si>
  <si>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</si>
  <si>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</si>
  <si>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</si>
  <si>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</si>
  <si>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</si>
  <si>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</si>
  <si>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</si>
  <si>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</si>
  <si>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</si>
  <si>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</si>
  <si>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</si>
  <si>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</si>
  <si>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</si>
  <si>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</si>
  <si>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</si>
  <si>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</si>
  <si>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</si>
  <si>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</si>
  <si>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</si>
  <si>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</si>
  <si>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</si>
  <si>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</si>
  <si>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</si>
  <si>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</si>
  <si>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</si>
  <si>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</si>
  <si>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</si>
  <si>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</si>
  <si>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</si>
  <si>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</si>
  <si>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</si>
  <si>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</si>
  <si>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</si>
  <si>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</si>
  <si>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</si>
  <si>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</si>
  <si>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</si>
  <si>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</si>
  <si>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</si>
  <si>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</si>
  <si>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</si>
  <si>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</si>
  <si>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</si>
  <si>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</si>
  <si>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</si>
  <si>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</si>
  <si>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</si>
  <si>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</si>
  <si>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</si>
  <si>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</si>
  <si>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</si>
  <si>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</si>
  <si>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</si>
  <si>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</si>
  <si>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</si>
  <si>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</si>
  <si>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</si>
  <si>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</si>
  <si>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</si>
  <si>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</si>
  <si>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</si>
  <si>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</si>
  <si>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</si>
  <si>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</si>
  <si>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</si>
  <si>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</si>
  <si>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</si>
  <si>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</si>
  <si>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</si>
  <si>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</si>
  <si>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</si>
  <si>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</si>
  <si>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</si>
  <si>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</si>
  <si>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</si>
  <si>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</si>
  <si>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</si>
  <si>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</si>
  <si>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</si>
  <si>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</si>
  <si>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</si>
  <si>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</si>
  <si>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</si>
  <si>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</si>
  <si>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</si>
  <si>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</si>
  <si>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</si>
  <si>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</si>
  <si>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</si>
  <si>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</si>
  <si>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</si>
  <si>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</si>
  <si>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</si>
  <si>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</si>
  <si>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</si>
  <si>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</si>
  <si>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</si>
  <si>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</si>
  <si>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</si>
  <si>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</si>
  <si>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</si>
  <si>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</si>
  <si>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</si>
  <si>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</si>
  <si>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</si>
  <si>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</si>
  <si>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</si>
  <si>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</si>
  <si>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</si>
  <si>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</si>
  <si>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</si>
  <si>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</si>
  <si>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</si>
  <si>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</si>
  <si>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</si>
  <si>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</si>
  <si>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</si>
  <si>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</si>
  <si>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</si>
  <si>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</si>
  <si>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</si>
  <si>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</si>
  <si>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</si>
  <si>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</si>
  <si>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</si>
  <si>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</si>
  <si>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</si>
  <si>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</si>
  <si>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</si>
  <si>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</si>
  <si>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</si>
  <si>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</si>
  <si>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</si>
  <si>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</si>
  <si>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</si>
  <si>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</si>
  <si>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</si>
  <si>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</si>
  <si>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</si>
  <si>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</si>
  <si>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</si>
  <si>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</si>
  <si>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</si>
  <si>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</si>
  <si>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</si>
  <si>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</si>
  <si>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</si>
  <si>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</si>
  <si>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</si>
  <si>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</si>
  <si>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</si>
  <si>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</si>
  <si>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</si>
  <si>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</si>
  <si>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</si>
  <si>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</si>
  <si>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</si>
  <si>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</si>
  <si>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</si>
  <si>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</si>
  <si>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</si>
  <si>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</si>
  <si>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</si>
  <si>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</si>
  <si>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</si>
  <si>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</si>
  <si>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</si>
  <si>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</si>
  <si>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</si>
  <si>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</si>
  <si>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</si>
  <si>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</si>
  <si>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</si>
  <si>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</si>
  <si>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</si>
  <si>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</si>
  <si>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</si>
  <si>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</si>
  <si>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</si>
  <si>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</si>
  <si>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</si>
  <si>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</si>
  <si>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</si>
  <si>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</si>
  <si>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</si>
  <si>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</si>
  <si>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</si>
  <si>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</si>
  <si>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</si>
  <si>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</si>
  <si>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</si>
  <si>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</si>
  <si>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</si>
  <si>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</si>
  <si>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</si>
  <si>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</si>
  <si>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</si>
  <si>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</si>
  <si>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</si>
  <si>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</si>
  <si>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</si>
  <si>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</si>
  <si>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</si>
  <si>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</si>
  <si>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</si>
  <si>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</si>
  <si>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</si>
  <si>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</si>
  <si>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</si>
  <si>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</si>
  <si>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</si>
  <si>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</si>
  <si>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</si>
  <si>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</si>
  <si>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</si>
  <si>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</si>
  <si>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</si>
  <si>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</si>
  <si>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</si>
  <si>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</si>
  <si>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</si>
  <si>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</si>
  <si>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</si>
  <si>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</si>
  <si>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</si>
  <si>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</si>
  <si>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</si>
  <si>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</si>
  <si>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</si>
  <si>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</si>
  <si>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</si>
  <si>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</si>
  <si>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</si>
  <si>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</si>
  <si>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</si>
  <si>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</si>
  <si>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</si>
  <si>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</si>
  <si>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</si>
  <si>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</si>
  <si>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</si>
  <si>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</si>
  <si>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</si>
  <si>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</si>
  <si>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</si>
  <si>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</si>
  <si>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</si>
  <si>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</si>
  <si>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</si>
  <si>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</si>
  <si>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</si>
  <si>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</si>
  <si>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</si>
  <si>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</si>
  <si>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</si>
  <si>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</si>
  <si>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</si>
  <si>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</si>
  <si>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</si>
  <si>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</si>
  <si>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</si>
  <si>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</si>
  <si>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</si>
  <si>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</si>
  <si>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</si>
  <si>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</si>
  <si>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</si>
  <si>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</si>
  <si>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</si>
  <si>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</si>
  <si>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</si>
  <si>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</si>
  <si>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</si>
  <si>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</si>
  <si>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</si>
  <si>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</si>
  <si>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</si>
  <si>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</si>
  <si>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</si>
  <si>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</si>
  <si>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</si>
  <si>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</si>
  <si>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</si>
  <si>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</si>
  <si>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</si>
  <si>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</si>
  <si>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</si>
  <si>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</si>
  <si>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</si>
  <si>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</si>
  <si>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</si>
  <si>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</si>
  <si>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</si>
  <si>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</si>
  <si>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</si>
  <si>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</si>
  <si>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</si>
  <si>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</si>
  <si>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</si>
  <si>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</si>
  <si>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</si>
  <si>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</si>
  <si>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</si>
  <si>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</si>
  <si>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</si>
  <si>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</si>
  <si>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</si>
  <si>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</si>
  <si>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</si>
  <si>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</si>
  <si>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</si>
  <si>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</si>
  <si>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</si>
  <si>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</si>
  <si>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</si>
  <si>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</si>
  <si>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</si>
  <si>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</si>
  <si>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</si>
  <si>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</si>
  <si>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</si>
  <si>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</si>
  <si>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</si>
  <si>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</si>
  <si>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</si>
  <si>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</si>
  <si>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</si>
  <si>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</si>
  <si>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</si>
  <si>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</si>
  <si>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</si>
  <si>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</si>
  <si>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</si>
  <si>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</si>
  <si>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</si>
  <si>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</si>
  <si>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</si>
  <si>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</si>
  <si>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</si>
  <si>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</si>
  <si>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</si>
  <si>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</si>
  <si>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</si>
  <si>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</si>
  <si>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</si>
  <si>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</si>
  <si>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</si>
  <si>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</si>
  <si>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</si>
  <si>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</si>
  <si>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</si>
  <si>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</si>
  <si>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</si>
  <si>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</si>
  <si>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</si>
  <si>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</si>
  <si>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</si>
  <si>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</si>
  <si>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</si>
  <si>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</si>
  <si>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</si>
  <si>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</si>
  <si>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</si>
  <si>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</si>
  <si>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</si>
  <si>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</si>
  <si>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</si>
  <si>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</si>
  <si>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</si>
  <si>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</si>
  <si>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</si>
  <si>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</si>
  <si>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</si>
  <si>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</si>
  <si>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</si>
  <si>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</si>
  <si>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</si>
  <si>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</si>
  <si>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</si>
  <si>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</si>
  <si>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</si>
  <si>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</si>
  <si>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</si>
  <si>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</si>
  <si>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</si>
  <si>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</si>
  <si>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</si>
  <si>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</si>
  <si>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</si>
  <si>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</si>
  <si>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</si>
  <si>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</si>
  <si>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</si>
  <si>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</si>
  <si>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</si>
  <si>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</si>
  <si>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</si>
  <si>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</si>
  <si>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</si>
  <si>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</si>
  <si>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</si>
  <si>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</si>
  <si>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</si>
  <si>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</si>
  <si>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</si>
  <si>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</si>
  <si>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</si>
  <si>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</si>
  <si>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</si>
  <si>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</si>
  <si>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</si>
  <si>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</si>
  <si>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</si>
  <si>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</si>
  <si>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</si>
  <si>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</si>
  <si>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</si>
  <si>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</si>
  <si>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</si>
  <si>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</si>
  <si>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</si>
  <si>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</si>
  <si>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</si>
  <si>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</si>
  <si>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</si>
  <si>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</si>
  <si>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</si>
  <si>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</si>
  <si>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</si>
  <si>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</si>
  <si>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</si>
  <si>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</si>
  <si>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</si>
  <si>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</si>
  <si>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</si>
  <si>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</si>
  <si>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</si>
  <si>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</si>
  <si>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</si>
  <si>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</si>
  <si>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</si>
  <si>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</si>
  <si>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</si>
  <si>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</si>
  <si>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</si>
  <si>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</si>
  <si>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</si>
  <si>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</si>
  <si>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</si>
  <si>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</si>
  <si>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</si>
  <si>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</si>
  <si>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</si>
  <si>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</si>
  <si>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</si>
  <si>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</si>
  <si>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</si>
  <si>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</si>
  <si>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</si>
  <si>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</si>
  <si>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</si>
  <si>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</si>
  <si>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</si>
  <si>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</si>
  <si>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</si>
  <si>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</si>
  <si>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</si>
  <si>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</si>
  <si>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</si>
  <si>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</si>
  <si>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</si>
  <si>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</si>
  <si>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</si>
  <si>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</si>
  <si>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</si>
  <si>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</si>
  <si>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</si>
  <si>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</si>
  <si>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</si>
  <si>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</si>
  <si>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</si>
  <si>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</si>
  <si>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</si>
  <si>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</si>
  <si>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</si>
  <si>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</si>
  <si>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</si>
  <si>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</si>
  <si>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</si>
  <si>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</si>
  <si>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</si>
  <si>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</si>
  <si>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</si>
  <si>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</si>
  <si>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</si>
  <si>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</si>
  <si>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</si>
  <si>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</si>
  <si>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</si>
  <si>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</si>
  <si>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</si>
  <si>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</si>
  <si>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</si>
  <si>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</si>
  <si>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</si>
  <si>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</si>
  <si>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</si>
  <si>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</si>
  <si>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</si>
  <si>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</si>
  <si>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</si>
  <si>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</si>
  <si>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</si>
  <si>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</si>
  <si>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</si>
  <si>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</si>
  <si>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</si>
  <si>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</si>
  <si>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</si>
  <si>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</si>
  <si>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</si>
  <si>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</si>
  <si>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</si>
  <si>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</si>
  <si>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</si>
  <si>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</si>
  <si>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</si>
  <si>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</si>
  <si>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</si>
  <si>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</si>
  <si>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</si>
  <si>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</si>
  <si>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</si>
  <si>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</si>
  <si>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</si>
  <si>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</si>
  <si>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</si>
  <si>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</si>
  <si>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</si>
  <si>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</si>
  <si>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</si>
  <si>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</si>
  <si>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</si>
  <si>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</si>
  <si>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</si>
  <si>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</si>
  <si>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</si>
  <si>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</si>
  <si>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</si>
  <si>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</si>
  <si>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</si>
  <si>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</si>
  <si>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</si>
  <si>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</si>
  <si>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</si>
  <si>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</si>
  <si>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</si>
  <si>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</si>
  <si>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</si>
  <si>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</si>
  <si>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</si>
  <si>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</si>
  <si>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</si>
  <si>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</si>
  <si>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</si>
  <si>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</si>
  <si>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</si>
  <si>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</si>
  <si>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</si>
  <si>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</si>
  <si>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</si>
  <si>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</si>
  <si>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</si>
  <si>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</si>
  <si>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</si>
  <si>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</si>
  <si>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</si>
  <si>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</si>
  <si>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</si>
  <si>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</si>
  <si>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</si>
  <si>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</si>
  <si>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</si>
  <si>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</si>
  <si>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</si>
  <si>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</si>
  <si>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</si>
  <si>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</si>
  <si>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</si>
  <si>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</si>
  <si>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</si>
  <si>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</si>
  <si>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</si>
  <si>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</si>
  <si>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</si>
  <si>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</si>
  <si>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</si>
  <si>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</si>
  <si>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</si>
  <si>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</si>
  <si>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</si>
  <si>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</si>
  <si>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</si>
  <si>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</si>
  <si>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</si>
  <si>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</si>
  <si>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</si>
  <si>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</si>
  <si>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</si>
  <si>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</si>
  <si>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</si>
  <si>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</si>
  <si>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</si>
  <si>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</si>
  <si>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</si>
  <si>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</si>
  <si>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</si>
  <si>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</si>
  <si>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</si>
  <si>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</si>
  <si>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</si>
  <si>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</si>
  <si>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</si>
  <si>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</si>
  <si>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</si>
  <si>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</si>
  <si>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</si>
  <si>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</si>
  <si>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</si>
  <si>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</si>
  <si>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</si>
  <si>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</si>
  <si>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</si>
  <si>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</si>
  <si>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</si>
  <si>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</si>
  <si>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</si>
  <si>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</si>
  <si>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</si>
  <si>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</si>
  <si>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</si>
  <si>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</si>
  <si>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</si>
  <si>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</si>
  <si>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</si>
  <si>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</si>
  <si>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</si>
  <si>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</si>
  <si>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</si>
  <si>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</si>
  <si>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</si>
  <si>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</si>
  <si>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</si>
  <si>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</si>
  <si>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</si>
  <si>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</si>
  <si>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</si>
  <si>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</si>
  <si>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</si>
  <si>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</si>
  <si>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</si>
  <si>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</si>
  <si>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</si>
  <si>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</si>
  <si>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</si>
  <si>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</si>
  <si>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</si>
  <si>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</si>
  <si>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</si>
  <si>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</si>
  <si>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</si>
  <si>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</si>
  <si>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</si>
  <si>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</si>
  <si>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</si>
  <si>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</si>
  <si>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</si>
  <si>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</si>
  <si>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</si>
  <si>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</si>
  <si>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</si>
  <si>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</si>
  <si>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</si>
  <si>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</si>
  <si>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</si>
  <si>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</si>
  <si>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</si>
  <si>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</si>
  <si>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</si>
  <si>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</si>
  <si>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</si>
  <si>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</si>
  <si>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</si>
  <si>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</si>
  <si>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</si>
  <si>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</si>
  <si>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</si>
  <si>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</si>
  <si>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</si>
  <si>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</si>
  <si>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</si>
  <si>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</si>
  <si>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</si>
  <si>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</si>
  <si>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</si>
  <si>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</si>
  <si>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</si>
  <si>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</si>
  <si>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</si>
  <si>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</si>
  <si>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</si>
  <si>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</si>
  <si>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</si>
  <si>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</si>
  <si>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</si>
  <si>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</si>
  <si>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</si>
  <si>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</si>
  <si>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</si>
  <si>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</si>
  <si>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</si>
  <si>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</si>
  <si>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</si>
  <si>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</si>
  <si>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</si>
  <si>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</si>
  <si>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</si>
  <si>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</si>
  <si>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</si>
  <si>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</si>
  <si>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</si>
  <si>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</si>
  <si>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</si>
  <si>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</si>
  <si>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</si>
  <si>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</si>
  <si>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</si>
  <si>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</si>
  <si>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</si>
  <si>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</si>
  <si>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</si>
  <si>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</si>
  <si>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</si>
  <si>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</si>
  <si>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</si>
  <si>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</si>
  <si>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</si>
  <si>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</si>
  <si>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</si>
  <si>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</si>
  <si>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</si>
  <si>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</si>
  <si>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</si>
  <si>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</si>
  <si>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</si>
  <si>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</si>
  <si>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</si>
  <si>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</si>
  <si>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</si>
  <si>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</si>
  <si>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</si>
  <si>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</si>
  <si>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</si>
  <si>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</si>
  <si>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</si>
  <si>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</si>
  <si>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</si>
  <si>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</si>
  <si>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</si>
  <si>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</si>
  <si>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</si>
  <si>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</si>
  <si>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</si>
  <si>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</si>
  <si>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</si>
  <si>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</si>
  <si>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</si>
  <si>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</si>
  <si>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</si>
  <si>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</si>
  <si>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</si>
  <si>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</si>
  <si>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</si>
  <si>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</si>
  <si>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</si>
  <si>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</si>
  <si>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</si>
  <si>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</si>
  <si>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</si>
  <si>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</si>
  <si>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</si>
  <si>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</si>
  <si>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</si>
  <si>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</si>
  <si>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</si>
  <si>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</si>
  <si>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</si>
  <si>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</si>
  <si>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</si>
  <si>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</si>
  <si>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</si>
  <si>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</si>
  <si>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</si>
  <si>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</si>
  <si>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</si>
  <si>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</si>
  <si>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</si>
  <si>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</si>
  <si>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</si>
  <si>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</si>
  <si>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</si>
  <si>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</si>
  <si>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</si>
  <si>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</si>
  <si>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</si>
  <si>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</si>
  <si>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</si>
  <si>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</si>
  <si>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</si>
  <si>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</si>
  <si>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</si>
  <si>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</si>
  <si>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</si>
  <si>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</si>
  <si>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</si>
  <si>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</si>
  <si>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</si>
  <si>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</si>
  <si>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</si>
  <si>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</si>
  <si>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</si>
  <si>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</si>
  <si>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</si>
  <si>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</si>
  <si>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</si>
  <si>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</si>
  <si>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</si>
  <si>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</si>
  <si>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</si>
  <si>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</si>
  <si>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</si>
  <si>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</si>
  <si>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</si>
  <si>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</si>
  <si>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</si>
  <si>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</si>
  <si>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</si>
  <si>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</si>
  <si>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</si>
  <si>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</si>
  <si>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</si>
  <si>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</si>
  <si>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</si>
  <si>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</si>
  <si>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</si>
  <si>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</si>
  <si>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</si>
  <si>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</si>
  <si>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</si>
  <si>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</si>
  <si>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</si>
  <si>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</si>
  <si>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</si>
  <si>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</si>
  <si>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</si>
  <si>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</si>
  <si>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</si>
  <si>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</si>
  <si>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</si>
  <si>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</si>
  <si>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</si>
  <si>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</si>
  <si>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</si>
  <si>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</si>
  <si>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</si>
  <si>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</si>
  <si>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</si>
  <si>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</si>
  <si>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</si>
  <si>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</si>
  <si>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</si>
  <si>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</si>
  <si>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</si>
  <si>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</si>
  <si>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</si>
  <si>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</si>
  <si>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</si>
  <si>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</si>
  <si>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</si>
  <si>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</si>
  <si>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</si>
  <si>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</si>
  <si>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</si>
  <si>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</si>
  <si>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</si>
  <si>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</si>
  <si>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</si>
  <si>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</si>
  <si>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</si>
  <si>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</si>
  <si>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</si>
  <si>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</si>
  <si>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</si>
  <si>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</si>
  <si>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</si>
  <si>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</si>
  <si>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</si>
  <si>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</si>
  <si>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</si>
  <si>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</si>
  <si>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</si>
  <si>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</si>
  <si>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</si>
  <si>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</si>
  <si>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</si>
  <si>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</si>
  <si>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</si>
  <si>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</si>
  <si>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</si>
  <si>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</si>
  <si>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</si>
  <si>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</si>
  <si>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</si>
  <si>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</si>
  <si>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</si>
  <si>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</si>
  <si>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</si>
  <si>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</si>
  <si>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</si>
  <si>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</si>
  <si>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</si>
  <si>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</si>
  <si>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</si>
  <si>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</si>
  <si>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</si>
  <si>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</si>
  <si>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</si>
  <si>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</si>
  <si>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</si>
  <si>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</si>
  <si>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</si>
  <si>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</si>
  <si>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</si>
  <si>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</si>
  <si>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</si>
  <si>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</si>
  <si>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</si>
  <si>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</si>
  <si>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</si>
  <si>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</si>
  <si>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</si>
  <si>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</si>
  <si>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</si>
  <si>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</si>
  <si>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</si>
  <si>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</si>
  <si>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</si>
  <si>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</si>
  <si>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</si>
  <si>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</si>
  <si>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</si>
  <si>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</si>
  <si>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</si>
  <si>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</si>
  <si>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</si>
  <si>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</si>
  <si>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</si>
  <si>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</si>
  <si>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</si>
  <si>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</si>
  <si>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</si>
  <si>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</si>
  <si>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</si>
  <si>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</si>
  <si>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</si>
  <si>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</si>
  <si>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</si>
  <si>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</si>
  <si>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</si>
  <si>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</si>
  <si>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</si>
  <si>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</si>
  <si>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</si>
  <si>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</si>
  <si>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</si>
  <si>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</si>
  <si>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</si>
  <si>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</si>
  <si>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</si>
  <si>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</si>
  <si>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</si>
  <si>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</si>
  <si>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</si>
  <si>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</si>
  <si>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</si>
  <si>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</si>
  <si>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</si>
  <si>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</si>
  <si>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</si>
  <si>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</si>
  <si>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</si>
  <si>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</si>
  <si>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</si>
  <si>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</si>
  <si>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</si>
  <si>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</si>
  <si>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</si>
  <si>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</si>
  <si>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</si>
  <si>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</si>
  <si>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</si>
  <si>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</si>
  <si>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</si>
  <si>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</si>
  <si>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</si>
  <si>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</si>
  <si>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</si>
  <si>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</si>
  <si>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</si>
  <si>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</si>
  <si>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</si>
  <si>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</si>
  <si>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</si>
  <si>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</si>
  <si>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</si>
  <si>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</si>
  <si>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</si>
  <si>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</si>
  <si>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</si>
  <si>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</si>
  <si>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</si>
  <si>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</si>
  <si>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</si>
  <si>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</si>
  <si>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</si>
  <si>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</si>
  <si>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</si>
  <si>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</si>
  <si>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</si>
  <si>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</si>
  <si>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</si>
  <si>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</si>
  <si>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</si>
  <si>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</si>
  <si>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</si>
  <si>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</si>
  <si>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</si>
  <si>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</si>
  <si>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</si>
  <si>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</si>
  <si>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</si>
  <si>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</si>
  <si>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</si>
  <si>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</si>
  <si>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</si>
  <si>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</si>
  <si>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</si>
  <si>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</si>
  <si>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</si>
  <si>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</si>
  <si>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</si>
  <si>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</si>
  <si>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</si>
  <si>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</si>
  <si>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</si>
  <si>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</si>
  <si>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</si>
  <si>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</si>
  <si>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</si>
  <si>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</si>
  <si>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</si>
  <si>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</si>
  <si>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</si>
  <si>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</si>
  <si>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</si>
  <si>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</si>
  <si>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</si>
  <si>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</si>
  <si>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</si>
  <si>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</si>
  <si>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</si>
  <si>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</si>
  <si>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</si>
  <si>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</si>
  <si>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</si>
  <si>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</si>
  <si>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</si>
  <si>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</si>
  <si>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</si>
  <si>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</si>
  <si>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</si>
  <si>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</si>
  <si>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</si>
  <si>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</si>
  <si>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</si>
  <si>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</si>
  <si>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</si>
  <si>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</si>
  <si>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</si>
  <si>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</si>
  <si>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</si>
  <si>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</si>
  <si>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</si>
  <si>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</si>
  <si>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</si>
  <si>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</si>
  <si>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</si>
  <si>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</si>
  <si>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</si>
  <si>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</si>
  <si>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</si>
  <si>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</si>
  <si>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</si>
  <si>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</si>
  <si>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</si>
  <si>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</si>
  <si>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</si>
  <si>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</si>
  <si>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</si>
  <si>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</si>
  <si>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</si>
  <si>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</si>
  <si>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</si>
  <si>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</si>
  <si>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</si>
  <si>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</si>
  <si>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</si>
  <si>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</si>
  <si>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</si>
  <si>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</si>
  <si>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</si>
  <si>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</si>
  <si>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</si>
  <si>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</si>
  <si>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</si>
  <si>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</si>
  <si>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</si>
  <si>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</si>
  <si>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</si>
  <si>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</si>
  <si>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</si>
  <si>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</si>
  <si>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</si>
  <si>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</si>
  <si>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</si>
  <si>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</si>
  <si>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</si>
  <si>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</si>
  <si>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</si>
  <si>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</si>
  <si>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</si>
  <si>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</si>
  <si>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</si>
  <si>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</si>
  <si>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</si>
  <si>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</si>
  <si>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</si>
  <si>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</si>
  <si>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</si>
  <si>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</si>
  <si>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</si>
  <si>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</si>
  <si>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</si>
  <si>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</si>
  <si>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</si>
  <si>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</si>
  <si>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</si>
  <si>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</si>
  <si>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</si>
  <si>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</si>
  <si>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</si>
  <si>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</si>
  <si>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</si>
  <si>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</si>
  <si>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</si>
  <si>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</si>
  <si>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</si>
  <si>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</si>
  <si>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</si>
  <si>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</si>
  <si>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</si>
  <si>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</si>
  <si>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</si>
  <si>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</si>
  <si>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</si>
  <si>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</si>
  <si>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</si>
  <si>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</si>
  <si>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</si>
  <si>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</si>
  <si>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</si>
  <si>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</si>
  <si>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</si>
  <si>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</si>
  <si>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</si>
  <si>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</si>
  <si>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</si>
  <si>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</si>
  <si>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</si>
  <si>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</si>
  <si>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</si>
  <si>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</si>
  <si>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</si>
  <si>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</si>
  <si>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</si>
  <si>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</si>
  <si>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</si>
  <si>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</si>
  <si>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</si>
  <si>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</si>
  <si>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</si>
  <si>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</si>
  <si>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</si>
  <si>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</si>
  <si>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</si>
  <si>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</si>
  <si>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</si>
  <si>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</si>
  <si>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</si>
  <si>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</si>
  <si>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</si>
  <si>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</si>
  <si>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</si>
  <si>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</si>
  <si>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</si>
  <si>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</si>
  <si>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</si>
  <si>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</si>
  <si>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</si>
  <si>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</si>
  <si>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</si>
  <si>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</si>
  <si>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</si>
  <si>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</si>
  <si>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</si>
  <si>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</si>
  <si>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</si>
  <si>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</si>
  <si>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</si>
  <si>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</si>
  <si>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</si>
  <si>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</si>
  <si>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</si>
  <si>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</si>
  <si>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</si>
  <si>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</si>
  <si>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</si>
  <si>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</si>
  <si>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</si>
  <si>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</si>
  <si>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</si>
  <si>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</si>
  <si>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</si>
  <si>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</si>
  <si>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</si>
  <si>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</si>
  <si>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</si>
  <si>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</si>
  <si>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</si>
  <si>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</si>
  <si>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</si>
  <si>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</si>
  <si>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</si>
  <si>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</si>
  <si>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</si>
  <si>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</si>
  <si>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</si>
  <si>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</si>
  <si>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</si>
  <si>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</si>
  <si>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</si>
  <si>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</si>
  <si>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</si>
  <si>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</si>
  <si>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</si>
  <si>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</si>
  <si>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</si>
  <si>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</si>
  <si>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</si>
  <si>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</si>
  <si>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</si>
  <si>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</si>
  <si>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</si>
  <si>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</si>
  <si>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</si>
  <si>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</si>
  <si>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</si>
  <si>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</si>
  <si>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</si>
  <si>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</si>
  <si>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</si>
  <si>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</si>
  <si>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</si>
  <si>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</si>
  <si>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</si>
  <si>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</si>
  <si>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</si>
  <si>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</si>
  <si>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</si>
  <si>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</si>
  <si>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</si>
  <si>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</si>
  <si>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</si>
  <si>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</si>
  <si>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</si>
  <si>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</si>
  <si>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</si>
  <si>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</si>
  <si>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</si>
  <si>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</si>
  <si>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</si>
  <si>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</si>
  <si>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</si>
  <si>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</si>
  <si>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</si>
  <si>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</si>
  <si>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</si>
  <si>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</si>
  <si>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</si>
  <si>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</si>
  <si>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</si>
  <si>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</si>
  <si>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</si>
  <si>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</si>
  <si>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</si>
  <si>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</si>
  <si>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</si>
  <si>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</si>
  <si>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</si>
  <si>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</si>
  <si>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</si>
  <si>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</si>
  <si>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</si>
  <si>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</si>
  <si>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</si>
  <si>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</si>
  <si>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</si>
  <si>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</si>
  <si>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</si>
  <si>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</si>
  <si>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</si>
  <si>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</si>
  <si>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</si>
  <si>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</si>
  <si>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</si>
  <si>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</si>
  <si>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</si>
  <si>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</si>
  <si>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</si>
  <si>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</si>
  <si>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</si>
  <si>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</si>
  <si>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</si>
  <si>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</si>
  <si>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</si>
  <si>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</si>
  <si>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</si>
  <si>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</si>
  <si>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</si>
  <si>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</si>
  <si>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</si>
  <si>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</si>
  <si>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</si>
  <si>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</si>
  <si>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</si>
  <si>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</si>
  <si>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</si>
  <si>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</si>
  <si>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</si>
  <si>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</si>
  <si>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</si>
  <si>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</si>
  <si>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</si>
  <si>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</si>
  <si>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</si>
  <si>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</si>
  <si>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</si>
  <si>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</si>
  <si>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</si>
  <si>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</si>
  <si>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</si>
  <si>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</si>
  <si>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</si>
  <si>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</si>
  <si>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</si>
  <si>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</si>
  <si>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</si>
  <si>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</si>
  <si>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</si>
  <si>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</si>
  <si>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</si>
  <si>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</si>
  <si>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</si>
  <si>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</si>
  <si>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</si>
  <si>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</si>
  <si>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</si>
  <si>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</si>
  <si>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</si>
  <si>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</si>
  <si>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</si>
  <si>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</si>
  <si>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</si>
  <si>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</si>
  <si>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</si>
  <si>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</si>
  <si>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</si>
  <si>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</si>
  <si>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</si>
  <si>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</si>
  <si>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</si>
  <si>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</si>
  <si>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</si>
  <si>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</si>
  <si>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</si>
  <si>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</si>
  <si>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</si>
  <si>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</si>
  <si>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</si>
  <si>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</si>
  <si>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</si>
  <si>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</si>
  <si>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</si>
  <si>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</si>
  <si>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</si>
  <si>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</si>
  <si>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</si>
  <si>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</si>
  <si>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</si>
  <si>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</si>
  <si>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</si>
  <si>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</si>
  <si>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</si>
  <si>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</si>
  <si>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</si>
  <si>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</si>
  <si>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</si>
  <si>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</si>
  <si>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</si>
  <si>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</si>
  <si>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</si>
  <si>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</si>
  <si>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</si>
  <si>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</si>
  <si>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</si>
  <si>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</si>
  <si>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</si>
  <si>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</si>
  <si>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</si>
  <si>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</si>
  <si>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</si>
  <si>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</si>
  <si>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</si>
  <si>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</si>
  <si>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</si>
  <si>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</si>
  <si>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</si>
  <si>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</si>
  <si>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</si>
  <si>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</si>
  <si>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</si>
  <si>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</si>
  <si>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</si>
  <si>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</si>
  <si>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</si>
  <si>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</si>
  <si>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</si>
  <si>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</si>
  <si>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</si>
  <si>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</si>
  <si>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</si>
  <si>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</si>
  <si>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</si>
  <si>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</si>
  <si>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</si>
  <si>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</si>
  <si>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</si>
  <si>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</si>
  <si>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</si>
  <si>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</si>
  <si>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</si>
  <si>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</si>
  <si>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</si>
  <si>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</si>
  <si>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</si>
  <si>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</si>
  <si>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</si>
  <si>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</si>
  <si>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</si>
  <si>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</si>
  <si>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</si>
  <si>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</si>
  <si>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</si>
  <si>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</si>
  <si>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</si>
  <si>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</si>
  <si>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</si>
  <si>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</si>
  <si>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</si>
  <si>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</si>
  <si>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</si>
  <si>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</si>
  <si>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</si>
  <si>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</si>
  <si>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</si>
  <si>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</si>
  <si>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</si>
  <si>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</si>
  <si>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</si>
  <si>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</si>
  <si>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</si>
  <si>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</si>
  <si>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</si>
  <si>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</si>
  <si>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</si>
  <si>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</si>
  <si>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</si>
  <si>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</si>
  <si>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</si>
  <si>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</si>
  <si>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</si>
  <si>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</si>
  <si>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</si>
  <si>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</si>
  <si>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</si>
  <si>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</si>
  <si>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</si>
  <si>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</si>
  <si>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</si>
  <si>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</si>
  <si>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</si>
  <si>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</si>
  <si>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</si>
  <si>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</si>
  <si>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</si>
  <si>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</si>
  <si>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</si>
  <si>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</si>
  <si>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</si>
  <si>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</si>
  <si>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</si>
  <si>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</si>
  <si>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</si>
  <si>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</si>
  <si>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</si>
  <si>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</si>
  <si>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</si>
  <si>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</si>
  <si>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</si>
  <si>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</si>
  <si>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</si>
  <si>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</si>
  <si>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</si>
  <si>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</si>
  <si>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</si>
  <si>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</si>
  <si>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</si>
  <si>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</si>
  <si>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</si>
  <si>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</si>
  <si>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</si>
  <si>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</si>
  <si>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</si>
  <si>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</si>
  <si>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</si>
  <si>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</si>
  <si>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</si>
  <si>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</si>
  <si>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</si>
  <si>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</si>
  <si>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</si>
  <si>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</si>
  <si>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</si>
  <si>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</si>
  <si>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</si>
  <si>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</si>
  <si>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</si>
  <si>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</si>
  <si>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</si>
  <si>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</si>
  <si>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</si>
  <si>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</si>
  <si>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</si>
  <si>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</si>
  <si>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</si>
  <si>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</si>
  <si>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</si>
  <si>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</si>
  <si>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</si>
  <si>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</si>
  <si>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</si>
  <si>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</si>
  <si>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</si>
  <si>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</si>
  <si>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</si>
  <si>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</si>
  <si>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</si>
  <si>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</si>
  <si>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</si>
  <si>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</si>
  <si>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</si>
  <si>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</si>
  <si>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</si>
  <si>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</si>
  <si>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</si>
  <si>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</si>
  <si>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</si>
  <si>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</si>
  <si>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</si>
  <si>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</si>
  <si>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</si>
  <si>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</si>
  <si>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</si>
  <si>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</si>
  <si>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</si>
  <si>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</si>
  <si>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</si>
  <si>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</si>
  <si>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</si>
  <si>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</si>
  <si>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</si>
  <si>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</si>
  <si>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</si>
  <si>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</si>
  <si>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</si>
  <si>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</si>
  <si>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</si>
  <si>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</si>
  <si>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</si>
  <si>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</si>
  <si>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</si>
  <si>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</si>
  <si>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</si>
  <si>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</si>
  <si>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</si>
  <si>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</si>
  <si>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</si>
  <si>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</si>
  <si>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</si>
  <si>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</si>
  <si>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</si>
  <si>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</si>
  <si>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</si>
  <si>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</si>
  <si>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</si>
  <si>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</si>
  <si>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</si>
  <si>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</si>
  <si>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</si>
  <si>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</si>
  <si>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</si>
  <si>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</si>
  <si>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</si>
  <si>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</si>
  <si>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</si>
  <si>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</si>
  <si>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</si>
  <si>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</si>
  <si>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</si>
  <si>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</si>
  <si>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</si>
  <si>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</si>
  <si>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</si>
  <si>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</si>
  <si>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</si>
  <si>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</si>
  <si>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</si>
  <si>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</si>
  <si>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</si>
  <si>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</si>
  <si>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</si>
  <si>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</si>
  <si>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</si>
  <si>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</si>
  <si>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</si>
  <si>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</si>
  <si>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</si>
  <si>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</si>
  <si>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</si>
  <si>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</si>
  <si>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</si>
  <si>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</si>
  <si>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</si>
  <si>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</si>
  <si>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</si>
  <si>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</si>
  <si>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</si>
  <si>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</si>
  <si>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</si>
  <si>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</si>
  <si>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</si>
  <si>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</si>
  <si>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</si>
  <si>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</si>
  <si>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</si>
  <si>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</si>
  <si>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</si>
  <si>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</si>
  <si>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</si>
  <si>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</si>
  <si>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</si>
  <si>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</si>
  <si>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</si>
  <si>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</si>
  <si>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</si>
  <si>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</si>
  <si>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</si>
  <si>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</si>
  <si>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</si>
  <si>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</si>
  <si>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</si>
  <si>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</si>
  <si>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</si>
  <si>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</si>
  <si>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</si>
  <si>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</si>
  <si>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</si>
  <si>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</si>
  <si>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</si>
  <si>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</si>
  <si>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</si>
  <si>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</si>
  <si>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</si>
  <si>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</si>
  <si>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</si>
  <si>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</si>
  <si>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</si>
  <si>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</si>
  <si>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</si>
  <si>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</si>
  <si>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</si>
  <si>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</si>
  <si>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</si>
  <si>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</si>
  <si>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</si>
  <si>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</si>
  <si>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</si>
  <si>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</si>
  <si>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</si>
  <si>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</si>
  <si>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</si>
  <si>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</si>
  <si>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</si>
  <si>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</si>
  <si>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</si>
  <si>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</si>
  <si>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</si>
  <si>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</si>
  <si>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</si>
  <si>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</si>
  <si>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</si>
  <si>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</si>
  <si>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</si>
  <si>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</si>
  <si>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</si>
  <si>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</si>
  <si>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</si>
  <si>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</si>
  <si>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</si>
  <si>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</si>
  <si>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</si>
  <si>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</si>
  <si>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</si>
  <si>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</si>
  <si>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</si>
  <si>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</si>
  <si>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</si>
  <si>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</si>
  <si>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</si>
  <si>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</si>
  <si>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</si>
  <si>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</si>
  <si>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</si>
  <si>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</si>
  <si>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</si>
  <si>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</si>
  <si>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</si>
  <si>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</si>
  <si>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</si>
  <si>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</si>
  <si>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</si>
  <si>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</si>
  <si>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</si>
  <si>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</si>
  <si>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</si>
  <si>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</si>
  <si>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</si>
  <si>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</si>
  <si>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</si>
  <si>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</si>
  <si>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</si>
  <si>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</si>
  <si>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</si>
  <si>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</si>
  <si>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</si>
  <si>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</si>
  <si>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</si>
  <si>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</si>
  <si>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</si>
  <si>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</si>
  <si>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</si>
  <si>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</si>
  <si>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</si>
  <si>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</si>
  <si>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</si>
  <si>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</si>
  <si>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</si>
  <si>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</si>
  <si>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</si>
  <si>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</si>
  <si>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</si>
  <si>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</si>
  <si>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</si>
  <si>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</si>
  <si>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</si>
  <si>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</si>
  <si>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</si>
  <si>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</si>
  <si>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</si>
  <si>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</si>
  <si>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</si>
  <si>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</si>
  <si>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</si>
  <si>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</si>
  <si>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</si>
  <si>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</si>
  <si>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</si>
  <si>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</si>
  <si>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</si>
  <si>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</si>
  <si>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</si>
  <si>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</si>
  <si>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</si>
  <si>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</si>
  <si>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</si>
  <si>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</si>
  <si>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</si>
  <si>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</si>
  <si>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</si>
  <si>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</si>
  <si>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</si>
  <si>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</si>
  <si>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</si>
  <si>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</si>
  <si>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</si>
  <si>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</si>
  <si>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</si>
  <si>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</si>
  <si>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</si>
  <si>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</si>
  <si>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</si>
  <si>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</si>
  <si>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</si>
  <si>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</si>
  <si>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</si>
  <si>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</si>
  <si>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</si>
  <si>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</si>
  <si>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</si>
  <si>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</si>
  <si>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</si>
  <si>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</si>
  <si>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</si>
  <si>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</si>
  <si>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</si>
  <si>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</si>
  <si>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</si>
  <si>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</si>
  <si>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</si>
  <si>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</si>
  <si>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</si>
  <si>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</si>
  <si>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</si>
  <si>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</si>
  <si>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</si>
  <si>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</si>
  <si>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</si>
  <si>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</si>
  <si>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</si>
  <si>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</si>
  <si>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</si>
  <si>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</si>
  <si>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</si>
  <si>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</si>
  <si>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</si>
  <si>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</si>
  <si>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</si>
  <si>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</si>
  <si>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</si>
  <si>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</si>
  <si>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</si>
  <si>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</si>
  <si>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</si>
  <si>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</si>
  <si>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</si>
  <si>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</si>
  <si>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</si>
  <si>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</si>
  <si>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</si>
  <si>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</si>
  <si>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</si>
  <si>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</si>
  <si>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</si>
  <si>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</si>
  <si>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</si>
  <si>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</si>
  <si>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</si>
  <si>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</si>
  <si>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</si>
  <si>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</si>
  <si>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</si>
  <si>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</si>
  <si>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</si>
  <si>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</si>
  <si>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</si>
  <si>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</si>
  <si>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</si>
  <si>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</si>
  <si>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</si>
  <si>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</si>
  <si>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</si>
  <si>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</si>
  <si>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</si>
  <si>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</si>
  <si>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</si>
  <si>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</si>
  <si>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</si>
  <si>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</si>
  <si>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</si>
  <si>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</si>
  <si>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</si>
  <si>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</si>
  <si>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</si>
  <si>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</si>
  <si>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</si>
  <si>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</si>
  <si>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</si>
  <si>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</si>
  <si>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</si>
  <si>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</si>
  <si>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</si>
  <si>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</si>
  <si>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</si>
  <si>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</si>
  <si>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</si>
  <si>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</si>
  <si>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</si>
  <si>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</si>
  <si>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</si>
  <si>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</si>
  <si>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</si>
  <si>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</si>
  <si>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</si>
  <si>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</si>
  <si>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</si>
  <si>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</si>
  <si>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</si>
  <si>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</si>
  <si>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</si>
  <si>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</si>
  <si>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</si>
  <si>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</si>
  <si>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</si>
  <si>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</si>
  <si>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</si>
  <si>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</si>
  <si>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</si>
  <si>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</si>
  <si>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</si>
  <si>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</si>
  <si>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</si>
  <si>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</si>
  <si>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</si>
  <si>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</si>
  <si>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</si>
  <si>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</si>
  <si>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</si>
  <si>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</si>
  <si>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</si>
  <si>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</si>
  <si>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</si>
  <si>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</si>
  <si>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</si>
  <si>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</si>
  <si>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</si>
  <si>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</si>
  <si>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</si>
  <si>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</si>
  <si>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</si>
  <si>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</si>
  <si>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</si>
  <si>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</si>
  <si>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</si>
  <si>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</si>
  <si>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</si>
  <si>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</si>
  <si>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</si>
  <si>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</si>
  <si>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</si>
  <si>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</si>
  <si>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</si>
  <si>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</si>
  <si>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</si>
  <si>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</si>
  <si>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</si>
  <si>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</si>
  <si>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</si>
  <si>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</si>
  <si>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</si>
  <si>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</si>
  <si>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</si>
  <si>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</si>
  <si>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</si>
  <si>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</si>
  <si>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</si>
  <si>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</si>
  <si>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</si>
  <si>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</si>
  <si>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</si>
  <si>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</si>
  <si>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</si>
  <si>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</si>
  <si>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</si>
  <si>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</si>
  <si>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</si>
  <si>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</si>
  <si>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</si>
  <si>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</si>
  <si>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</si>
  <si>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</si>
  <si>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</si>
  <si>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</si>
  <si>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</si>
  <si>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</si>
  <si>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</si>
  <si>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</si>
  <si>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</si>
  <si>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</si>
  <si>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</si>
  <si>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</si>
  <si>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</si>
  <si>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</si>
  <si>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</si>
  <si>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</si>
  <si>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</si>
  <si>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</si>
  <si>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</si>
  <si>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</si>
  <si>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</si>
  <si>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</si>
  <si>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</si>
  <si>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</si>
  <si>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</si>
  <si>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</si>
  <si>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</si>
  <si>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</si>
  <si>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</si>
  <si>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</si>
  <si>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</si>
  <si>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</si>
  <si>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</si>
  <si>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</si>
  <si>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</si>
  <si>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</si>
  <si>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</si>
  <si>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</si>
  <si>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</si>
  <si>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</si>
  <si>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</si>
  <si>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</si>
  <si>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</si>
  <si>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</si>
  <si>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</si>
  <si>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</si>
  <si>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</si>
  <si>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</si>
  <si>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</si>
  <si>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</si>
  <si>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</si>
  <si>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</si>
  <si>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</si>
  <si>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</si>
  <si>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</si>
  <si>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</si>
  <si>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</si>
  <si>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</si>
  <si>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</si>
  <si>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</si>
  <si>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</si>
  <si>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</si>
  <si>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</si>
  <si>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</si>
  <si>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</si>
  <si>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</si>
  <si>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</si>
  <si>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</si>
  <si>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</si>
  <si>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</si>
  <si>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</si>
  <si>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</si>
  <si>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</si>
  <si>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</si>
  <si>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</si>
  <si>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</si>
  <si>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</si>
  <si>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</si>
  <si>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</si>
  <si>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</si>
  <si>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</si>
  <si>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</si>
  <si>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</si>
  <si>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</si>
  <si>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</si>
  <si>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</si>
  <si>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</si>
  <si>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</si>
  <si>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</si>
  <si>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</si>
  <si>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</si>
  <si>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</si>
  <si>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</si>
  <si>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</si>
  <si>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</si>
  <si>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</si>
  <si>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</si>
  <si>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</si>
  <si>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</si>
  <si>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</si>
  <si>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</si>
  <si>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</si>
  <si>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</si>
  <si>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</si>
  <si>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</si>
  <si>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</si>
  <si>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</si>
  <si>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</si>
  <si>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</si>
  <si>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</si>
  <si>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</si>
  <si>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</si>
  <si>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</si>
  <si>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</si>
  <si>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</si>
  <si>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</si>
  <si>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</si>
  <si>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</si>
  <si>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</si>
  <si>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</si>
  <si>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</si>
  <si>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</si>
  <si>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</si>
  <si>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</si>
  <si>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</si>
  <si>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</si>
  <si>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</si>
  <si>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</si>
  <si>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</si>
  <si>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</si>
  <si>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</si>
  <si>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</si>
  <si>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</si>
  <si>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</si>
  <si>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</si>
  <si>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</si>
  <si>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</si>
  <si>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</si>
  <si>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</si>
  <si>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</si>
  <si>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</si>
  <si>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</si>
  <si>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</si>
  <si>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</si>
  <si>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</si>
  <si>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</si>
  <si>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</si>
  <si>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</si>
  <si>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</si>
  <si>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</si>
  <si>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</si>
  <si>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</si>
  <si>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</si>
  <si>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</si>
  <si>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</si>
  <si>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</si>
  <si>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</si>
  <si>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</si>
  <si>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</si>
  <si>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</si>
  <si>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</si>
  <si>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</si>
  <si>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</si>
  <si>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</si>
  <si>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</si>
  <si>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</si>
  <si>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</si>
  <si>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</si>
  <si>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</si>
  <si>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</si>
  <si>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</si>
  <si>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</si>
  <si>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</si>
  <si>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</si>
  <si>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</si>
  <si>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</si>
  <si>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</si>
  <si>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</si>
  <si>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</si>
  <si>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</si>
  <si>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</si>
  <si>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</si>
  <si>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</si>
  <si>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</si>
  <si>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</si>
  <si>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</si>
  <si>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</si>
  <si>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</si>
  <si>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</si>
  <si>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</si>
  <si>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</si>
  <si>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</si>
  <si>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</si>
  <si>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</si>
  <si>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</si>
  <si>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</si>
  <si>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</si>
  <si>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</si>
  <si>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</si>
  <si>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</si>
  <si>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</si>
  <si>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</si>
  <si>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</si>
  <si>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</si>
  <si>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</si>
  <si>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</si>
  <si>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</si>
  <si>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</si>
  <si>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</si>
  <si>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</si>
  <si>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</si>
  <si>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</si>
  <si>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</si>
  <si>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</si>
  <si>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</si>
  <si>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</si>
  <si>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</si>
  <si>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</si>
  <si>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</si>
  <si>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</si>
  <si>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</si>
  <si>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</si>
  <si>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</si>
  <si>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</si>
  <si>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</si>
  <si>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</si>
  <si>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</si>
  <si>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</si>
  <si>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</si>
  <si>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</si>
  <si>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</si>
  <si>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</si>
  <si>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</si>
  <si>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</si>
  <si>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</si>
  <si>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</si>
  <si>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</si>
  <si>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</si>
  <si>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</si>
  <si>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</si>
  <si>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</si>
  <si>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</si>
  <si>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</si>
  <si>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</si>
  <si>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</si>
  <si>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</si>
  <si>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</si>
  <si>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</si>
  <si>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</si>
  <si>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</si>
  <si>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</si>
  <si>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</si>
  <si>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</si>
  <si>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</si>
  <si>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</si>
  <si>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</si>
  <si>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</si>
  <si>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</si>
  <si>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</si>
  <si>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</si>
  <si>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</si>
  <si>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</si>
  <si>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</si>
  <si>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</si>
  <si>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</si>
  <si>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</si>
  <si>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</si>
  <si>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</si>
  <si>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</si>
  <si>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</si>
  <si>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</si>
  <si>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</si>
  <si>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</si>
  <si>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</si>
  <si>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</si>
  <si>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</si>
  <si>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</si>
  <si>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</si>
  <si>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</si>
  <si>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</si>
  <si>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</si>
  <si>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</si>
  <si>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</si>
  <si>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</si>
  <si>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</si>
  <si>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</si>
  <si>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</si>
  <si>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</si>
  <si>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</si>
  <si>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</si>
  <si>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</si>
  <si>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</si>
  <si>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</si>
  <si>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</si>
  <si>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</si>
  <si>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</si>
  <si>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</si>
  <si>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</si>
  <si>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</si>
  <si>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</si>
  <si>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</si>
  <si>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</si>
  <si>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</si>
  <si>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</si>
  <si>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</si>
  <si>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</si>
  <si>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</si>
  <si>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</si>
  <si>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</si>
  <si>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</si>
  <si>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</si>
  <si>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</si>
  <si>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</si>
  <si>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</si>
  <si>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</si>
  <si>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</si>
  <si>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</si>
  <si>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</si>
  <si>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</si>
  <si>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</si>
  <si>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</si>
  <si>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</si>
  <si>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</si>
  <si>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</si>
  <si>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</si>
  <si>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</si>
  <si>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</si>
  <si>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</si>
  <si>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</si>
  <si>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</si>
  <si>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</si>
  <si>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</si>
  <si>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</si>
  <si>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</si>
  <si>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</si>
  <si>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</si>
  <si>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</si>
  <si>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</si>
  <si>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</si>
  <si>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</si>
  <si>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</si>
  <si>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</si>
  <si>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</si>
  <si>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</si>
  <si>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</si>
  <si>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</si>
  <si>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</si>
  <si>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</si>
  <si>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</si>
  <si>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</si>
  <si>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</si>
  <si>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</si>
  <si>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</si>
  <si>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</si>
  <si>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</si>
  <si>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</si>
  <si>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</si>
  <si>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</si>
  <si>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</si>
  <si>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</si>
  <si>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</si>
  <si>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</si>
  <si>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</si>
  <si>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</si>
  <si>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</si>
  <si>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</si>
  <si>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</si>
  <si>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</si>
  <si>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</si>
  <si>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</si>
  <si>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</si>
  <si>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</si>
  <si>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</si>
  <si>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</si>
  <si>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</si>
  <si>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</si>
  <si>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</si>
  <si>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</si>
  <si>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</si>
  <si>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</si>
  <si>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</si>
  <si>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</si>
  <si>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</si>
  <si>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</si>
  <si>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</si>
  <si>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</si>
  <si>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</si>
  <si>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</si>
  <si>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</si>
  <si>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</si>
  <si>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</si>
  <si>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</si>
  <si>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</si>
  <si>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</si>
  <si>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</si>
  <si>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</si>
  <si>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</si>
  <si>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</si>
  <si>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</si>
  <si>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</si>
  <si>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</si>
  <si>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</si>
  <si>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</si>
  <si>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</si>
  <si>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</si>
  <si>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</si>
  <si>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</si>
  <si>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</si>
  <si>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</si>
  <si>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</si>
  <si>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</si>
  <si>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</si>
  <si>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</si>
  <si>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</si>
  <si>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</si>
  <si>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</si>
  <si>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</si>
  <si>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</si>
  <si>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</si>
  <si>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</si>
  <si>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</si>
  <si>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</si>
  <si>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</si>
  <si>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</si>
  <si>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</si>
  <si>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</si>
  <si>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</si>
  <si>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</si>
  <si>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</si>
  <si>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</si>
  <si>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</si>
  <si>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</si>
  <si>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</si>
  <si>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</si>
  <si>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</si>
  <si>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</si>
  <si>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</si>
  <si>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</si>
  <si>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</si>
  <si>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</si>
  <si>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</si>
  <si>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</si>
  <si>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</si>
  <si>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</si>
  <si>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</si>
  <si>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</si>
  <si>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</si>
  <si>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</si>
  <si>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</si>
  <si>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</si>
  <si>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</si>
  <si>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</si>
  <si>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</si>
  <si>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</si>
  <si>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</si>
  <si>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</si>
  <si>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</si>
  <si>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</si>
  <si>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</si>
  <si>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</si>
  <si>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</si>
  <si>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</si>
  <si>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</si>
  <si>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</si>
  <si>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</si>
  <si>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</si>
  <si>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</si>
  <si>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</si>
  <si>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</si>
  <si>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</si>
  <si>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</si>
  <si>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</si>
  <si>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</si>
  <si>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</si>
  <si>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</si>
  <si>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</si>
  <si>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</si>
  <si>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</si>
  <si>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</si>
  <si>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</si>
  <si>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</si>
  <si>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</si>
  <si>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</si>
  <si>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</si>
  <si>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</si>
  <si>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</si>
  <si>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</si>
  <si>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</si>
  <si>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</si>
  <si>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</si>
  <si>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</si>
  <si>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</si>
  <si>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</si>
  <si>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</si>
  <si>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</si>
  <si>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</si>
  <si>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</si>
  <si>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</si>
  <si>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</si>
  <si>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</si>
  <si>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</si>
  <si>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</si>
  <si>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</si>
  <si>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</si>
  <si>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</si>
  <si>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</si>
  <si>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</si>
  <si>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</si>
  <si>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</si>
  <si>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</si>
  <si>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</si>
  <si>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</si>
  <si>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</si>
  <si>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</si>
  <si>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</si>
  <si>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</si>
  <si>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</si>
  <si>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</si>
  <si>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</si>
  <si>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</si>
  <si>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</si>
  <si>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</si>
  <si>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</si>
  <si>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</si>
  <si>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</si>
  <si>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</si>
  <si>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</si>
  <si>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</si>
  <si>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</si>
  <si>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</si>
  <si>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</si>
  <si>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</si>
  <si>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</si>
  <si>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</si>
  <si>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</si>
  <si>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</si>
  <si>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</si>
  <si>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</si>
  <si>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</si>
  <si>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</si>
  <si>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</si>
  <si>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</si>
  <si>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</si>
  <si>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</si>
  <si>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</si>
  <si>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</si>
  <si>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</si>
  <si>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</si>
  <si>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</si>
  <si>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</si>
  <si>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</si>
  <si>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</si>
  <si>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</si>
  <si>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</si>
  <si>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</si>
  <si>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</si>
  <si>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</si>
  <si>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</si>
  <si>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</si>
  <si>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</si>
  <si>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</si>
  <si>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</si>
  <si>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</si>
  <si>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</si>
  <si>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</si>
  <si>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</si>
  <si>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</si>
  <si>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</si>
  <si>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</si>
  <si>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</si>
  <si>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</si>
  <si>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</si>
  <si>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</si>
  <si>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</si>
  <si>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</si>
  <si>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</si>
  <si>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</si>
  <si>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</si>
  <si>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</si>
  <si>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</si>
  <si>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</si>
  <si>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</si>
  <si>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</si>
  <si>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</si>
  <si>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</si>
  <si>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</si>
  <si>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</si>
  <si>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</si>
  <si>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</si>
  <si>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</si>
  <si>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</si>
  <si>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</si>
  <si>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</si>
  <si>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</si>
  <si>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</si>
  <si>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</si>
  <si>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</si>
  <si>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</si>
  <si>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</si>
  <si>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</si>
  <si>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</si>
  <si>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</si>
  <si>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</si>
  <si>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</si>
  <si>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</si>
  <si>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</si>
  <si>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</si>
  <si>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</si>
  <si>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</si>
  <si>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</si>
  <si>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</si>
  <si>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</si>
  <si>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</si>
  <si>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</si>
  <si>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</si>
  <si>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</si>
  <si>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</si>
  <si>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</si>
  <si>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</si>
  <si>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</si>
  <si>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</si>
  <si>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</si>
  <si>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</si>
  <si>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</si>
  <si>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</si>
  <si>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</si>
  <si>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</si>
  <si>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</si>
  <si>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</si>
  <si>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</si>
  <si>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</si>
  <si>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</si>
  <si>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</si>
  <si>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</si>
  <si>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</si>
  <si>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</si>
  <si>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</si>
  <si>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</si>
  <si>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</si>
  <si>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</si>
  <si>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</si>
  <si>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</si>
  <si>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</si>
  <si>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</si>
  <si>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</si>
  <si>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</si>
  <si>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</si>
  <si>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</si>
  <si>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</si>
  <si>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</si>
  <si>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</si>
  <si>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</si>
  <si>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</si>
  <si>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</si>
  <si>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</si>
  <si>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</si>
  <si>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</si>
  <si>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</si>
  <si>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</si>
  <si>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</si>
  <si>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</si>
  <si>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</si>
  <si>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</si>
  <si>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</si>
  <si>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</si>
  <si>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</si>
  <si>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</si>
  <si>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</si>
  <si>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</si>
  <si>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</si>
  <si>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</si>
  <si>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</si>
  <si>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</si>
  <si>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</si>
  <si>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</si>
  <si>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</si>
  <si>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</si>
  <si>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</si>
  <si>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</si>
  <si>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</si>
  <si>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</si>
  <si>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</si>
  <si>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</si>
  <si>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</si>
  <si>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</si>
  <si>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</si>
  <si>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</si>
  <si>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</si>
  <si>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</si>
  <si>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</si>
  <si>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</si>
  <si>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</si>
  <si>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</si>
  <si>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</si>
  <si>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</si>
  <si>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</si>
  <si>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</si>
  <si>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</si>
  <si>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</si>
  <si>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</si>
  <si>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</si>
  <si>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</si>
  <si>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</si>
  <si>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</si>
  <si>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</si>
  <si>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</si>
  <si>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</si>
  <si>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</si>
  <si>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</si>
  <si>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</si>
  <si>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</si>
  <si>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</si>
  <si>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</si>
  <si>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</si>
  <si>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</si>
  <si>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</si>
  <si>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</si>
  <si>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</si>
  <si>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</si>
  <si>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</si>
  <si>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</si>
  <si>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</si>
  <si>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</si>
  <si>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</si>
  <si>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</si>
  <si>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</si>
  <si>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</si>
  <si>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</si>
  <si>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</si>
  <si>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</si>
  <si>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</si>
  <si>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</si>
  <si>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</si>
  <si>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</si>
  <si>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</si>
  <si>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</si>
  <si>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</si>
  <si>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</si>
  <si>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</si>
  <si>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</si>
  <si>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</si>
  <si>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</si>
  <si>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</si>
  <si>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</si>
  <si>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</si>
  <si>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</si>
  <si>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</si>
  <si>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</si>
  <si>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</si>
  <si>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</si>
  <si>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</si>
  <si>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</si>
  <si>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</si>
  <si>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</si>
  <si>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</si>
  <si>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</si>
  <si>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</si>
  <si>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</si>
  <si>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</si>
  <si>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</si>
  <si>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</si>
  <si>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</si>
  <si>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</si>
  <si>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</si>
  <si>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</si>
  <si>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</si>
  <si>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</si>
  <si>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</si>
  <si>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</si>
  <si>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</si>
  <si>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</si>
  <si>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</si>
  <si>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</si>
  <si>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</si>
  <si>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</si>
  <si>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</si>
  <si>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</si>
  <si>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</si>
  <si>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</si>
  <si>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</si>
  <si>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</si>
  <si>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</si>
  <si>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</si>
  <si>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</si>
  <si>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</si>
  <si>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</si>
  <si>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</si>
  <si>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</si>
  <si>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</si>
  <si>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</si>
  <si>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</si>
  <si>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</si>
  <si>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</si>
  <si>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</si>
  <si>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</si>
  <si>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</si>
  <si>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</si>
  <si>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</si>
  <si>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</si>
  <si>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</si>
  <si>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</si>
  <si>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</si>
  <si>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</si>
  <si>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</si>
  <si>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</si>
  <si>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</si>
  <si>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</si>
  <si>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</si>
  <si>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</si>
  <si>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</si>
  <si>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</si>
  <si>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</si>
  <si>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</si>
  <si>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</si>
  <si>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</si>
  <si>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</si>
  <si>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</si>
  <si>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</si>
  <si>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</si>
  <si>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</si>
  <si>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</si>
  <si>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</si>
  <si>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</si>
  <si>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</si>
  <si>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</si>
  <si>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</si>
  <si>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</si>
  <si>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</si>
  <si>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</si>
  <si>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</si>
  <si>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</si>
  <si>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</si>
  <si>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</si>
  <si>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</si>
  <si>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</si>
  <si>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</si>
  <si>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</si>
  <si>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</si>
  <si>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</si>
  <si>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</si>
  <si>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</si>
  <si>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</si>
  <si>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</si>
  <si>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</si>
  <si>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</si>
  <si>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</si>
  <si>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</si>
  <si>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</si>
  <si>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</si>
  <si>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</si>
  <si>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</si>
  <si>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</si>
  <si>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</si>
  <si>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</si>
  <si>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</si>
  <si>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</si>
  <si>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</si>
  <si>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</si>
  <si>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</si>
  <si>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</si>
  <si>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</si>
  <si>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</si>
  <si>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</si>
  <si>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</si>
  <si>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</si>
  <si>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</si>
  <si>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</si>
  <si>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</si>
  <si>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</si>
  <si>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</si>
  <si>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</si>
  <si>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</si>
  <si>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</si>
  <si>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</si>
  <si>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</si>
  <si>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</si>
  <si>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</si>
  <si>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</si>
  <si>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</si>
  <si>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</si>
  <si>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</si>
  <si>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</si>
  <si>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</si>
  <si>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</si>
  <si>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</si>
  <si>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</si>
  <si>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</si>
  <si>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</si>
  <si>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</si>
  <si>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</si>
  <si>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</si>
  <si>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</si>
  <si>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</si>
  <si>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</si>
  <si>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</si>
  <si>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</si>
  <si>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</si>
  <si>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</si>
  <si>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</si>
  <si>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</si>
  <si>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</si>
  <si>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</si>
  <si>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</si>
  <si>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</si>
  <si>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</si>
  <si>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</si>
  <si>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</si>
  <si>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</si>
  <si>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</si>
  <si>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</si>
  <si>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</si>
  <si>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</si>
  <si>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</si>
  <si>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</si>
  <si>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</si>
  <si>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</si>
  <si>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</si>
  <si>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</si>
  <si>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</si>
  <si>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</si>
  <si>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</si>
  <si>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</si>
  <si>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</si>
  <si>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</si>
  <si>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</si>
  <si>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</si>
  <si>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</si>
  <si>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</si>
  <si>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</si>
  <si>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</si>
  <si>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</si>
  <si>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</si>
  <si>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</si>
  <si>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</si>
  <si>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</si>
  <si>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</si>
  <si>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</si>
  <si>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</si>
  <si>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</si>
  <si>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</si>
  <si>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</si>
  <si>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</si>
  <si>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</si>
  <si>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</si>
  <si>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</si>
  <si>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</si>
  <si>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</si>
  <si>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</si>
  <si>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</si>
  <si>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</si>
  <si>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</si>
  <si>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</si>
  <si>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</si>
  <si>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</si>
  <si>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</si>
  <si>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</si>
  <si>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</si>
  <si>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</si>
  <si>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</si>
  <si>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</si>
  <si>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</si>
  <si>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</si>
  <si>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</si>
  <si>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</si>
  <si>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</si>
  <si>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</si>
  <si>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</si>
  <si>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</si>
  <si>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</si>
  <si>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</si>
  <si>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</si>
  <si>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</si>
  <si>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</si>
  <si>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</si>
  <si>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</si>
  <si>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</si>
  <si>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</si>
  <si>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</si>
  <si>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</si>
  <si>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</si>
  <si>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</si>
  <si>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</si>
  <si>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</si>
  <si>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</si>
  <si>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</si>
  <si>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</si>
  <si>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</si>
  <si>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</si>
  <si>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</si>
  <si>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</si>
  <si>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</si>
  <si>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</si>
  <si>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</si>
  <si>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</si>
  <si>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</si>
  <si>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</si>
  <si>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</si>
  <si>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</si>
  <si>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</si>
  <si>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</si>
  <si>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</si>
  <si>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</si>
  <si>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</si>
  <si>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</si>
  <si>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</si>
  <si>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</si>
  <si>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</si>
  <si>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</si>
  <si>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</si>
  <si>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</si>
  <si>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</si>
  <si>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</si>
  <si>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</si>
  <si>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</si>
  <si>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</si>
  <si>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</si>
  <si>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</si>
  <si>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</si>
  <si>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</si>
  <si>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</si>
  <si>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</si>
  <si>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</si>
  <si>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</si>
  <si>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</si>
  <si>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</si>
  <si>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</si>
  <si>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</si>
  <si>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</si>
  <si>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</si>
  <si>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</si>
  <si>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</si>
  <si>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</si>
  <si>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</si>
  <si>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</si>
  <si>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</si>
  <si>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</si>
  <si>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</si>
  <si>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</si>
  <si>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</si>
  <si>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</si>
  <si>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</si>
  <si>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</si>
  <si>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</si>
  <si>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</si>
  <si>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</si>
  <si>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</si>
  <si>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</si>
  <si>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</si>
  <si>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</si>
  <si>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</si>
  <si>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</si>
  <si>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</si>
  <si>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</si>
  <si>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</si>
  <si>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</si>
  <si>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</si>
  <si>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</si>
  <si>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</si>
  <si>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</si>
  <si>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</si>
  <si>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</si>
  <si>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</si>
  <si>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</si>
  <si>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</si>
  <si>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</si>
  <si>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</si>
  <si>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</si>
  <si>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</si>
  <si>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</si>
  <si>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</si>
  <si>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</si>
  <si>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</si>
  <si>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</si>
  <si>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</si>
  <si>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</si>
  <si>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</si>
  <si>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</si>
  <si>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</si>
  <si>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</si>
  <si>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</si>
  <si>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</si>
  <si>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</si>
  <si>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</si>
  <si>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</si>
  <si>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</si>
  <si>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</si>
  <si>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</si>
  <si>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</si>
  <si>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</si>
  <si>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</si>
  <si>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</si>
  <si>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</si>
  <si>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</si>
  <si>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</si>
  <si>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</si>
  <si>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</si>
  <si>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</si>
  <si>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</si>
  <si>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</si>
  <si>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</si>
  <si>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</si>
  <si>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</si>
  <si>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</si>
  <si>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</si>
  <si>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</si>
  <si>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</si>
  <si>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</si>
  <si>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</si>
  <si>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</si>
  <si>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</si>
  <si>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</si>
  <si>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</si>
  <si>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</si>
  <si>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</si>
  <si>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</si>
  <si>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</si>
  <si>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</si>
  <si>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</si>
  <si>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</si>
  <si>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</si>
  <si>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</si>
  <si>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</si>
  <si>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</si>
  <si>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</si>
  <si>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</si>
  <si>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</si>
  <si>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</si>
  <si>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</si>
  <si>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</si>
  <si>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</si>
  <si>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</si>
  <si>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</si>
  <si>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</si>
  <si>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</si>
  <si>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</si>
  <si>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</si>
  <si>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</si>
  <si>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</si>
  <si>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</si>
  <si>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</si>
  <si>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</si>
  <si>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</si>
  <si>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</si>
  <si>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</si>
  <si>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</si>
  <si>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</si>
  <si>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</si>
  <si>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</si>
  <si>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</si>
  <si>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</si>
  <si>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</si>
  <si>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</si>
  <si>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</si>
  <si>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</si>
  <si>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</si>
  <si>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</si>
  <si>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</si>
  <si>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</si>
  <si>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</si>
  <si>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</si>
  <si>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</si>
  <si>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</si>
  <si>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</si>
  <si>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</si>
  <si>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</si>
  <si>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</si>
  <si>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</si>
  <si>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</si>
  <si>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</si>
  <si>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</si>
  <si>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</si>
  <si>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</si>
  <si>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</si>
  <si>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</si>
  <si>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</si>
  <si>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</si>
  <si>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</si>
  <si>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</si>
  <si>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</si>
  <si>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</si>
  <si>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</si>
  <si>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</si>
  <si>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</si>
  <si>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</si>
  <si>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</si>
  <si>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</si>
  <si>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</si>
  <si>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</si>
  <si>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</si>
  <si>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</si>
  <si>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</si>
  <si>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</si>
  <si>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</si>
  <si>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</si>
  <si>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</si>
  <si>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</si>
  <si>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</si>
  <si>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</si>
  <si>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</si>
  <si>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</si>
  <si>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</si>
  <si>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</si>
  <si>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</si>
  <si>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</si>
  <si>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</si>
  <si>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</si>
  <si>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</si>
  <si>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</si>
  <si>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</si>
  <si>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</si>
  <si>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</si>
  <si>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</si>
  <si>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</si>
  <si>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</si>
  <si>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</si>
  <si>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</si>
  <si>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</si>
  <si>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</si>
  <si>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</si>
  <si>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</si>
  <si>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</si>
  <si>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</si>
  <si>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</si>
  <si>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</si>
  <si>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</si>
  <si>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</si>
  <si>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</si>
  <si>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</si>
  <si>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</si>
  <si>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</si>
  <si>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</si>
  <si>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</si>
  <si>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</si>
  <si>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</si>
  <si>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</si>
  <si>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</si>
  <si>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</si>
  <si>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</si>
  <si>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</si>
  <si>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</si>
  <si>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</si>
  <si>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</si>
  <si>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</si>
  <si>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</si>
  <si>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</si>
  <si>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</si>
  <si>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</si>
  <si>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</si>
  <si>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</si>
  <si>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</si>
  <si>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</si>
  <si>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</si>
  <si>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</si>
  <si>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</si>
  <si>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</si>
  <si>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</si>
  <si>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</si>
  <si>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</si>
  <si>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</si>
  <si>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</si>
  <si>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</si>
  <si>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</si>
  <si>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</si>
  <si>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</si>
  <si>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</si>
  <si>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</si>
  <si>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</si>
  <si>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</si>
  <si>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</si>
  <si>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</si>
  <si>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</si>
  <si>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</si>
  <si>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</si>
  <si>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</si>
  <si>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</si>
  <si>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</si>
  <si>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</si>
  <si>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</si>
  <si>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</si>
  <si>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</si>
  <si>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</si>
  <si>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</si>
  <si>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</si>
  <si>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</si>
  <si>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</si>
  <si>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</si>
  <si>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</si>
  <si>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</si>
  <si>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</si>
  <si>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</si>
  <si>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</si>
  <si>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</si>
  <si>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</si>
  <si>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</si>
  <si>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</si>
  <si>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</si>
  <si>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</si>
  <si>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</si>
  <si>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</si>
  <si>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</si>
  <si>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</si>
  <si>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</si>
  <si>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</si>
  <si>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</si>
  <si>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</si>
  <si>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</si>
  <si>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</si>
  <si>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</si>
  <si>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</si>
  <si>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</si>
  <si>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</si>
  <si>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</si>
  <si>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</si>
  <si>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</si>
  <si>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</si>
  <si>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</si>
  <si>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</si>
  <si>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</si>
  <si>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</si>
  <si>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</si>
  <si>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</si>
  <si>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</si>
  <si>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</si>
  <si>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</si>
  <si>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</si>
  <si>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</si>
  <si>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</si>
  <si>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</si>
  <si>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</si>
  <si>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</si>
  <si>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</si>
  <si>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</si>
  <si>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</si>
  <si>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</si>
  <si>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</si>
  <si>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</si>
  <si>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</si>
  <si>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</si>
  <si>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</si>
  <si>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</si>
  <si>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</si>
  <si>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</si>
  <si>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</si>
  <si>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</si>
  <si>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</si>
  <si>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</si>
  <si>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</si>
  <si>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</si>
  <si>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</si>
  <si>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</si>
  <si>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</si>
  <si>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</si>
  <si>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</si>
  <si>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</si>
  <si>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</si>
  <si>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</si>
  <si>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</si>
  <si>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</si>
  <si>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</si>
  <si>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</si>
  <si>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</si>
  <si>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</si>
  <si>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</si>
  <si>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</si>
  <si>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</si>
  <si>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</si>
  <si>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</si>
  <si>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</si>
  <si>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</si>
  <si>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</si>
  <si>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</si>
  <si>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</si>
  <si>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</si>
  <si>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</si>
  <si>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</si>
  <si>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</si>
  <si>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</si>
  <si>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</si>
  <si>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</si>
  <si>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</si>
  <si>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</si>
  <si>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</si>
  <si>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</si>
  <si>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</si>
  <si>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</si>
  <si>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</si>
  <si>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</si>
  <si>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</si>
  <si>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</si>
  <si>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</si>
  <si>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</si>
  <si>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</si>
  <si>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</si>
  <si>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</si>
  <si>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</si>
  <si>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</si>
  <si>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</si>
  <si>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</si>
  <si>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</si>
  <si>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</si>
  <si>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</si>
  <si>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</si>
  <si>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</si>
  <si>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</si>
  <si>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</si>
  <si>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</si>
  <si>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</si>
  <si>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</si>
  <si>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</si>
  <si>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</si>
  <si>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</si>
  <si>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</si>
  <si>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</si>
  <si>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</si>
  <si>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</si>
  <si>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</si>
  <si>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</si>
  <si>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</si>
  <si>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</si>
  <si>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</si>
  <si>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</si>
  <si>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</si>
  <si>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</si>
  <si>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</si>
  <si>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</si>
  <si>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</si>
  <si>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</si>
  <si>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</si>
  <si>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</si>
  <si>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</si>
  <si>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</si>
  <si>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</si>
  <si>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</si>
  <si>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</si>
  <si>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</si>
  <si>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</si>
  <si>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</si>
  <si>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</si>
  <si>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</si>
  <si>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</si>
  <si>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</si>
  <si>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</si>
  <si>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</si>
  <si>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</si>
  <si>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</si>
  <si>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</si>
  <si>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</si>
  <si>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</si>
  <si>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</si>
  <si>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</si>
  <si>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</si>
  <si>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</si>
  <si>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</si>
  <si>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</si>
  <si>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</si>
  <si>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</si>
  <si>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</si>
  <si>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</si>
  <si>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</si>
  <si>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</si>
  <si>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</si>
  <si>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</si>
  <si>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</si>
  <si>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</si>
  <si>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</si>
  <si>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</si>
  <si>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</si>
  <si>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</si>
  <si>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</si>
  <si>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</si>
  <si>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</si>
  <si>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</si>
  <si>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</si>
  <si>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</si>
  <si>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</si>
  <si>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</si>
  <si>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</si>
  <si>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</si>
  <si>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</si>
  <si>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</si>
  <si>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</si>
  <si>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</si>
  <si>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</si>
  <si>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</si>
  <si>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</si>
  <si>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</si>
  <si>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</si>
  <si>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</si>
  <si>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</si>
  <si>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</si>
  <si>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</si>
  <si>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</si>
  <si>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</si>
  <si>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</si>
  <si>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</si>
  <si>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</si>
  <si>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</si>
  <si>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</si>
  <si>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</si>
  <si>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</si>
  <si>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</si>
  <si>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</si>
  <si>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</si>
  <si>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</si>
  <si>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</si>
  <si>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</si>
  <si>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</si>
  <si>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</si>
  <si>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</si>
  <si>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</si>
  <si>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</si>
  <si>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</si>
  <si>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</si>
  <si>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</si>
  <si>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</si>
  <si>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</si>
  <si>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</si>
  <si>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</si>
  <si>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</si>
  <si>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</si>
  <si>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</si>
  <si>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</si>
  <si>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</si>
  <si>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</si>
  <si>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</si>
  <si>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</si>
  <si>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</si>
  <si>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</si>
  <si>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</si>
  <si>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</si>
  <si>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</si>
  <si>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</si>
  <si>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</si>
  <si>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</si>
  <si>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</si>
  <si>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</si>
  <si>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</si>
  <si>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</si>
  <si>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</si>
  <si>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</si>
  <si>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</si>
  <si>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</si>
  <si>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</si>
  <si>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</si>
  <si>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</si>
  <si>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</si>
  <si>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</si>
  <si>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</si>
  <si>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</si>
  <si>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</si>
  <si>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</si>
  <si>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</si>
  <si>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</si>
  <si>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</si>
  <si>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</si>
  <si>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</si>
  <si>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</si>
  <si>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</si>
  <si>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</si>
  <si>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</si>
  <si>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</si>
  <si>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</si>
  <si>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</si>
  <si>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</si>
  <si>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</si>
  <si>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</si>
  <si>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</si>
  <si>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</si>
  <si>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</si>
  <si>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</si>
  <si>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</si>
  <si>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</si>
  <si>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</si>
  <si>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</si>
  <si>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</si>
  <si>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</si>
  <si>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</si>
  <si>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</si>
  <si>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</si>
  <si>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</si>
  <si>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</si>
  <si>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</si>
  <si>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</si>
  <si>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</si>
  <si>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</si>
  <si>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</si>
  <si>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</si>
  <si>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</si>
  <si>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</si>
  <si>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</si>
  <si>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</si>
  <si>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</si>
  <si>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</si>
  <si>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</si>
  <si>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</si>
  <si>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</si>
  <si>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</si>
  <si>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</si>
  <si>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</si>
  <si>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</si>
  <si>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</si>
  <si>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</si>
  <si>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</si>
  <si>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</si>
  <si>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</si>
  <si>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</si>
  <si>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</si>
  <si>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</si>
  <si>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</si>
  <si>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</si>
  <si>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</si>
  <si>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</si>
  <si>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</si>
  <si>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</si>
  <si>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</si>
  <si>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</si>
  <si>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</si>
  <si>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</si>
  <si>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</si>
  <si>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</si>
  <si>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</si>
  <si>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</si>
  <si>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</si>
  <si>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</si>
  <si>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</si>
  <si>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</si>
  <si>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</si>
  <si>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</si>
  <si>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</si>
  <si>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</si>
  <si>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</si>
  <si>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</si>
  <si>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</si>
  <si>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</si>
  <si>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</si>
  <si>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</si>
  <si>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</si>
  <si>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</si>
  <si>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</si>
  <si>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</si>
  <si>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</si>
  <si>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</si>
  <si>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</si>
  <si>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</si>
  <si>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</si>
  <si>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</si>
  <si>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</si>
  <si>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</si>
  <si>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</si>
  <si>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</si>
  <si>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</si>
  <si>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</si>
  <si>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</si>
  <si>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</si>
  <si>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</si>
  <si>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</si>
  <si>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</si>
  <si>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</si>
  <si>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</si>
  <si>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</si>
  <si>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</si>
  <si>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</si>
  <si>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</si>
  <si>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</si>
  <si>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</si>
  <si>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</si>
  <si>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</si>
  <si>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</si>
  <si>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</si>
  <si>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</si>
  <si>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</si>
  <si>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</si>
  <si>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</si>
  <si>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</si>
  <si>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</si>
  <si>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</si>
  <si>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</si>
  <si>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</si>
  <si>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</si>
  <si>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</si>
  <si>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</si>
  <si>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</si>
  <si>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</si>
  <si>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</si>
  <si>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</si>
  <si>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</si>
  <si>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</si>
  <si>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</si>
  <si>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</si>
  <si>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</si>
  <si>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</si>
  <si>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</si>
  <si>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</si>
  <si>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</si>
  <si>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</si>
  <si>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</si>
  <si>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</si>
  <si>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</si>
  <si>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</si>
  <si>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</si>
  <si>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</si>
  <si>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</si>
  <si>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</si>
  <si>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</si>
  <si>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</si>
  <si>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</si>
  <si>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</si>
  <si>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</si>
  <si>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</si>
  <si>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</si>
  <si>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</si>
  <si>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</si>
  <si>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</si>
  <si>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</si>
  <si>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</si>
  <si>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</si>
  <si>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</si>
  <si>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</si>
  <si>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</si>
  <si>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</si>
  <si>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</si>
  <si>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</si>
  <si>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</si>
  <si>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</si>
  <si>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</si>
  <si>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</si>
  <si>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</si>
  <si>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</si>
  <si>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</si>
  <si>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</si>
  <si>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</si>
  <si>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</si>
  <si>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</si>
  <si>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</si>
  <si>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</si>
  <si>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</si>
  <si>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</si>
  <si>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</si>
  <si>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</si>
  <si>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</si>
  <si>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</si>
  <si>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</si>
  <si>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</si>
  <si>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</si>
  <si>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</si>
  <si>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</si>
  <si>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</si>
  <si>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</si>
  <si>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</si>
  <si>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</si>
  <si>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</si>
  <si>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</si>
  <si>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</si>
  <si>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</si>
  <si>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</si>
  <si>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</si>
  <si>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</si>
  <si>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</si>
  <si>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</si>
  <si>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</si>
  <si>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</si>
  <si>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</si>
  <si>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</si>
  <si>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</si>
  <si>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</si>
  <si>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</si>
  <si>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</si>
  <si>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</si>
  <si>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</si>
  <si>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</si>
  <si>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</si>
  <si>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</si>
  <si>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</si>
  <si>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</si>
  <si>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</si>
  <si>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</si>
  <si>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</si>
  <si>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</si>
  <si>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</si>
  <si>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</si>
  <si>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</si>
  <si>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</si>
  <si>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</si>
  <si>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</si>
  <si>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</si>
  <si>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</si>
  <si>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</si>
  <si>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</si>
  <si>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</si>
  <si>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</si>
  <si>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</si>
  <si>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</si>
  <si>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</si>
  <si>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</si>
  <si>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</si>
  <si>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</si>
  <si>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</si>
  <si>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</si>
  <si>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</si>
  <si>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</si>
  <si>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</si>
  <si>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</si>
  <si>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</si>
  <si>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</si>
  <si>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</si>
  <si>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</si>
  <si>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</si>
  <si>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</si>
  <si>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</si>
  <si>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</si>
  <si>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</si>
  <si>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</si>
  <si>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</si>
  <si>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</si>
  <si>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</si>
  <si>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</si>
  <si>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</si>
  <si>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</si>
  <si>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</si>
  <si>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</si>
  <si>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</si>
  <si>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</si>
  <si>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</si>
  <si>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</si>
  <si>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</si>
  <si>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</si>
  <si>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</si>
  <si>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</si>
  <si>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</si>
  <si>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</si>
  <si>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</si>
  <si>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</si>
  <si>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</si>
  <si>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</si>
  <si>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</si>
  <si>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</si>
  <si>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</si>
  <si>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</si>
  <si>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</si>
  <si>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</si>
  <si>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</si>
  <si>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</si>
  <si>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</si>
  <si>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</si>
  <si>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</si>
  <si>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</si>
  <si>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</si>
  <si>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</si>
  <si>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</si>
  <si>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</si>
  <si>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</si>
  <si>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</si>
  <si>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</si>
  <si>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</si>
  <si>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</si>
  <si>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</si>
  <si>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</si>
  <si>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</si>
  <si>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</si>
  <si>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</si>
  <si>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</si>
  <si>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</si>
  <si>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</si>
  <si>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</si>
  <si>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</si>
  <si>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</si>
  <si>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</si>
  <si>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</si>
  <si>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</si>
  <si>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</si>
  <si>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</si>
  <si>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</si>
  <si>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</si>
  <si>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</si>
  <si>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</si>
  <si>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</si>
  <si>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</si>
  <si>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</si>
  <si>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</si>
  <si>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</si>
  <si>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</si>
  <si>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</si>
  <si>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</si>
  <si>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</si>
  <si>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</si>
  <si>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</si>
  <si>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</si>
  <si>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</si>
  <si>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</si>
  <si>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</si>
  <si>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</si>
  <si>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</si>
  <si>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</si>
  <si>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</si>
  <si>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</si>
  <si>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</si>
  <si>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</si>
  <si>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</si>
  <si>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</si>
  <si>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</si>
  <si>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</si>
  <si>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</si>
  <si>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</si>
  <si>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</si>
  <si>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</si>
  <si>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</si>
  <si>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</si>
  <si>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</si>
  <si>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</si>
  <si>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</si>
  <si>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</si>
  <si>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</si>
  <si>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</si>
  <si>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</si>
  <si>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</si>
  <si>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</si>
  <si>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</si>
  <si>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</si>
  <si>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</si>
  <si>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</si>
  <si>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</si>
  <si>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</si>
  <si>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</si>
  <si>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</si>
  <si>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</si>
  <si>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</si>
  <si>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</si>
  <si>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</si>
  <si>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</si>
  <si>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</si>
  <si>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</si>
  <si>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</si>
  <si>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</si>
  <si>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</si>
  <si>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</si>
  <si>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</si>
  <si>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</si>
  <si>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</si>
  <si>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</si>
  <si>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</si>
  <si>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</si>
  <si>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</si>
  <si>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</si>
  <si>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</si>
  <si>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</si>
  <si>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</si>
  <si>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</si>
  <si>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</si>
  <si>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</si>
  <si>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</si>
  <si>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</si>
  <si>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</si>
  <si>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</si>
  <si>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</si>
  <si>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</si>
  <si>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</si>
  <si>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</si>
  <si>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</si>
  <si>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</si>
  <si>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</si>
  <si>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</si>
  <si>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</si>
  <si>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</si>
  <si>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</si>
  <si>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</si>
  <si>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</si>
  <si>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</si>
  <si>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</si>
  <si>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</si>
  <si>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</si>
  <si>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</si>
  <si>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</si>
  <si>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</si>
  <si>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</si>
  <si>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</si>
  <si>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</si>
  <si>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</si>
  <si>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</si>
  <si>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</si>
  <si>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</si>
  <si>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</si>
  <si>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</si>
  <si>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</si>
  <si>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</si>
  <si>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</si>
  <si>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</si>
  <si>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</si>
  <si>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</si>
  <si>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</si>
  <si>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</si>
  <si>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</si>
  <si>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</si>
  <si>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</si>
  <si>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</si>
  <si>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</si>
  <si>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</si>
  <si>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</si>
  <si>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</si>
  <si>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</si>
  <si>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</si>
  <si>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</si>
  <si>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</si>
  <si>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</si>
  <si>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</si>
  <si>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</si>
  <si>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</si>
  <si>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</si>
  <si>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</si>
  <si>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</si>
  <si>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</si>
  <si>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</si>
  <si>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</si>
  <si>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</si>
  <si>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</si>
  <si>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</si>
  <si>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</si>
  <si>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</si>
  <si>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</si>
  <si>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</si>
  <si>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</si>
  <si>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</si>
  <si>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</si>
  <si>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</si>
  <si>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</si>
  <si>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</si>
  <si>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</si>
  <si>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</si>
  <si>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</si>
  <si>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</si>
  <si>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</si>
  <si>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</si>
  <si>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</si>
  <si>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</si>
  <si>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</si>
  <si>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</si>
  <si>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</si>
  <si>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</si>
  <si>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</si>
  <si>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</si>
  <si>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</si>
  <si>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</si>
  <si>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</si>
  <si>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</si>
  <si>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</si>
  <si>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</si>
  <si>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</si>
  <si>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</si>
  <si>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</si>
  <si>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</si>
  <si>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</si>
  <si>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</si>
  <si>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</si>
  <si>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</si>
  <si>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</si>
  <si>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</si>
  <si>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</si>
  <si>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</si>
  <si>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</si>
  <si>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</si>
  <si>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</si>
  <si>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</si>
  <si>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</si>
  <si>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</si>
  <si>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</si>
  <si>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</si>
  <si>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</si>
  <si>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</si>
  <si>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</si>
  <si>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</si>
  <si>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</si>
  <si>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</si>
  <si>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</si>
  <si>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</si>
  <si>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</si>
  <si>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</si>
  <si>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</si>
  <si>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</si>
  <si>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</si>
  <si>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</si>
  <si>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</si>
  <si>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</si>
  <si>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</si>
  <si>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</si>
  <si>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</si>
  <si>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</si>
  <si>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</si>
  <si>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</si>
  <si>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</si>
  <si>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</si>
  <si>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</si>
  <si>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</si>
  <si>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</si>
  <si>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</si>
  <si>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</si>
  <si>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</si>
  <si>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</si>
  <si>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</si>
  <si>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</si>
  <si>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</si>
  <si>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</si>
  <si>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</si>
  <si>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</si>
  <si>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</si>
  <si>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</si>
  <si>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</si>
  <si>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</si>
  <si>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</si>
  <si>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</si>
  <si>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</si>
  <si>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</si>
  <si>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</si>
  <si>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</si>
  <si>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</si>
  <si>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</si>
  <si>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</si>
  <si>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</si>
  <si>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</si>
  <si>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</si>
  <si>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</si>
  <si>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</si>
  <si>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</si>
  <si>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</si>
  <si>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</si>
  <si>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</si>
  <si>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</si>
  <si>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</si>
  <si>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</si>
  <si>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</si>
  <si>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</si>
  <si>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</si>
  <si>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</si>
  <si>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</si>
  <si>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</si>
  <si>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</si>
  <si>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</si>
  <si>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</si>
  <si>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</si>
  <si>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</si>
  <si>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</si>
  <si>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</si>
  <si>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</si>
  <si>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</si>
  <si>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</si>
  <si>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</si>
  <si>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</si>
  <si>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</si>
  <si>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</si>
  <si>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</si>
  <si>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</si>
  <si>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</si>
  <si>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</si>
  <si>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</si>
  <si>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</si>
  <si>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</si>
  <si>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</si>
  <si>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</si>
  <si>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</si>
  <si>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</si>
  <si>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</si>
  <si>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</si>
  <si>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</si>
  <si>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</si>
  <si>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</si>
  <si>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</si>
  <si>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</si>
  <si>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</si>
  <si>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</si>
  <si>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</si>
  <si>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</si>
  <si>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</si>
  <si>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</si>
  <si>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</si>
  <si>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</si>
  <si>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</si>
  <si>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</si>
  <si>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</si>
  <si>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</si>
  <si>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</si>
  <si>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</si>
  <si>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</si>
  <si>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</si>
  <si>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</si>
  <si>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</si>
  <si>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</si>
  <si>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</si>
  <si>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</si>
  <si>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</si>
  <si>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</si>
  <si>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</si>
  <si>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</si>
  <si>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</si>
  <si>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</si>
  <si>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</si>
  <si>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</si>
  <si>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</si>
  <si>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</si>
  <si>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</si>
  <si>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</si>
  <si>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</si>
  <si>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</si>
  <si>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</si>
  <si>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</si>
  <si>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</si>
  <si>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</si>
  <si>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</si>
  <si>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</si>
  <si>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</si>
  <si>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</si>
  <si>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</si>
  <si>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</si>
  <si>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</si>
  <si>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</si>
  <si>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</si>
  <si>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</si>
  <si>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</si>
  <si>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</si>
  <si>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</si>
  <si>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</si>
  <si>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</si>
  <si>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</si>
  <si>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</si>
  <si>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</si>
  <si>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</si>
  <si>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</si>
  <si>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</si>
  <si>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</si>
  <si>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</si>
  <si>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</si>
  <si>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</si>
  <si>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</si>
  <si>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</si>
  <si>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</si>
  <si>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</si>
  <si>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</si>
  <si>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</si>
  <si>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</si>
  <si>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</si>
  <si>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</si>
  <si>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</si>
  <si>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</si>
  <si>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</si>
  <si>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</si>
  <si>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</si>
  <si>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</si>
  <si>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</si>
  <si>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</si>
  <si>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</si>
  <si>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</si>
  <si>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</si>
  <si>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</si>
  <si>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</si>
  <si>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</si>
  <si>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</si>
  <si>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</si>
  <si>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</si>
  <si>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</si>
  <si>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</si>
  <si>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</si>
  <si>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</si>
  <si>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</si>
  <si>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</si>
  <si>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</si>
  <si>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</si>
  <si>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</si>
  <si>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</si>
  <si>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</si>
  <si>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</si>
  <si>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</si>
  <si>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</si>
  <si>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</si>
  <si>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</si>
  <si>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</si>
  <si>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</si>
  <si>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</si>
  <si>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</si>
  <si>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</si>
  <si>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</si>
  <si>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</si>
  <si>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</si>
  <si>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</si>
  <si>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</si>
  <si>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</si>
  <si>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</si>
  <si>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</si>
  <si>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</si>
  <si>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</si>
  <si>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</si>
  <si>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</si>
  <si>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</si>
  <si>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</si>
  <si>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</si>
  <si>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</si>
  <si>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</si>
  <si>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</si>
  <si>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</si>
  <si>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</si>
  <si>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</si>
  <si>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</si>
  <si>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</si>
  <si>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</si>
  <si>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</si>
  <si>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</si>
  <si>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</si>
  <si>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</si>
  <si>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</si>
  <si>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</si>
  <si>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</si>
  <si>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</si>
  <si>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</si>
  <si>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</si>
  <si>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</si>
  <si>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</si>
  <si>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</si>
  <si>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</si>
  <si>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</si>
  <si>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</si>
  <si>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</si>
  <si>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</si>
  <si>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</si>
  <si>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</si>
  <si>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</si>
  <si>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</si>
  <si>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</si>
  <si>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</si>
  <si>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</si>
  <si>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</si>
  <si>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</si>
  <si>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</si>
  <si>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</si>
  <si>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</si>
  <si>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</si>
  <si>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</si>
  <si>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</si>
  <si>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</si>
  <si>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</si>
  <si>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</si>
  <si>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</si>
  <si>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</si>
  <si>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</si>
  <si>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</si>
  <si>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</si>
  <si>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</si>
  <si>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</si>
  <si>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</si>
  <si>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</si>
  <si>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</si>
  <si>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</si>
  <si>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</si>
  <si>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</si>
  <si>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</si>
  <si>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</si>
  <si>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</si>
  <si>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</si>
  <si>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</si>
  <si>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</si>
  <si>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</si>
  <si>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</si>
  <si>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</si>
  <si>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</si>
  <si>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</si>
  <si>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</si>
  <si>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</si>
  <si>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</si>
  <si>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</si>
  <si>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</si>
  <si>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</si>
  <si>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</si>
  <si>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</si>
  <si>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</si>
  <si>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</si>
  <si>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</si>
  <si>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</si>
  <si>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</si>
  <si>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</si>
  <si>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</si>
  <si>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</si>
  <si>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</si>
  <si>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</si>
  <si>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</si>
  <si>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</si>
  <si>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</si>
  <si>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</si>
  <si>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</si>
  <si>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</si>
  <si>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</si>
  <si>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</si>
  <si>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</si>
  <si>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</si>
  <si>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</si>
  <si>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</si>
  <si>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</si>
  <si>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</si>
  <si>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</si>
  <si>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</si>
  <si>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</si>
  <si>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</si>
  <si>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</si>
  <si>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</si>
  <si>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</si>
  <si>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</si>
  <si>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</si>
  <si>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</si>
  <si>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</si>
  <si>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</si>
  <si>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</si>
  <si>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</si>
  <si>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</si>
  <si>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</si>
  <si>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</si>
  <si>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</si>
  <si>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</si>
  <si>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</si>
  <si>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</si>
  <si>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</si>
  <si>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</si>
  <si>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</si>
  <si>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</si>
  <si>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</si>
  <si>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</si>
  <si>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</si>
  <si>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</si>
  <si>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</si>
  <si>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</si>
  <si>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</si>
  <si>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</si>
  <si>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</si>
  <si>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</si>
  <si>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</si>
  <si>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</si>
  <si>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</si>
  <si>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</si>
  <si>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</si>
  <si>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</si>
  <si>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</si>
  <si>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</si>
  <si>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</si>
  <si>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</si>
  <si>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</si>
  <si>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</si>
  <si>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</si>
  <si>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</si>
  <si>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</si>
  <si>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</si>
  <si>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</si>
  <si>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</si>
  <si>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</si>
  <si>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</si>
  <si>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</si>
  <si>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</si>
  <si>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</si>
  <si>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</si>
  <si>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</si>
  <si>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</si>
  <si>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</si>
  <si>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</si>
  <si>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</si>
  <si>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</si>
  <si>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</si>
  <si>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</si>
  <si>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</si>
  <si>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</si>
  <si>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</si>
  <si>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</si>
  <si>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</si>
  <si>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</si>
  <si>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</si>
  <si>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</si>
  <si>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</si>
  <si>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</si>
  <si>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</si>
  <si>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</si>
  <si>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</si>
  <si>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</si>
  <si>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</si>
  <si>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</si>
  <si>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</si>
  <si>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</si>
  <si>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</si>
  <si>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</si>
  <si>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</si>
  <si>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</si>
  <si>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</si>
  <si>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</si>
  <si>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</si>
  <si>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</si>
  <si>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</si>
  <si>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</si>
  <si>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</si>
  <si>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</si>
  <si>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</si>
  <si>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</si>
  <si>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</si>
  <si>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</si>
  <si>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</si>
  <si>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</si>
  <si>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</si>
  <si>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</si>
  <si>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</si>
  <si>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</si>
  <si>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</si>
  <si>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</si>
  <si>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</si>
  <si>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</si>
  <si>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</si>
  <si>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</si>
  <si>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</si>
  <si>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</si>
  <si>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</si>
  <si>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</si>
  <si>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</si>
  <si>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</si>
  <si>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</si>
  <si>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</si>
  <si>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</si>
  <si>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</si>
  <si>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</si>
  <si>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</si>
  <si>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</si>
  <si>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</si>
  <si>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</si>
  <si>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</si>
  <si>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</si>
  <si>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</si>
  <si>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</si>
  <si>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</si>
  <si>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</si>
  <si>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</si>
  <si>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</si>
  <si>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</si>
  <si>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</si>
  <si>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</si>
  <si>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</si>
  <si>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</si>
  <si>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</si>
  <si>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</si>
  <si>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</si>
  <si>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</si>
  <si>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</si>
  <si>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</si>
  <si>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</si>
  <si>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</si>
  <si>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</si>
  <si>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</si>
  <si>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</si>
  <si>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</si>
  <si>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</si>
  <si>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</si>
  <si>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</si>
  <si>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</si>
  <si>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</si>
  <si>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</si>
  <si>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</si>
  <si>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</si>
  <si>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</si>
  <si>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</si>
  <si>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</si>
  <si>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</si>
  <si>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</si>
  <si>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</si>
  <si>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</si>
  <si>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</si>
  <si>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</si>
  <si>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</si>
  <si>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</si>
  <si>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</si>
  <si>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</si>
  <si>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</si>
  <si>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</si>
  <si>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</si>
  <si>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</si>
  <si>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</si>
  <si>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</si>
  <si>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</si>
  <si>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</si>
  <si>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</si>
  <si>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</si>
  <si>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</si>
  <si>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</si>
  <si>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</si>
  <si>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</si>
  <si>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</si>
  <si>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</si>
  <si>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</si>
  <si>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</si>
  <si>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</si>
  <si>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</si>
  <si>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</si>
  <si>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</si>
  <si>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</si>
  <si>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</si>
  <si>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</si>
  <si>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</si>
  <si>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</si>
  <si>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</si>
  <si>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</si>
  <si>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</si>
  <si>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</si>
  <si>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</si>
  <si>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</si>
  <si>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</si>
  <si>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</si>
  <si>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</si>
  <si>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</si>
  <si>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</si>
  <si>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</si>
  <si>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</si>
  <si>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</si>
  <si>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</si>
  <si>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</si>
  <si>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</si>
  <si>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</si>
  <si>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</si>
  <si>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</si>
  <si>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</si>
  <si>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</si>
  <si>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</si>
  <si>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</si>
  <si>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</si>
  <si>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</si>
  <si>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</si>
  <si>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</si>
  <si>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</si>
  <si>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</si>
  <si>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</si>
  <si>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</si>
  <si>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</si>
  <si>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</si>
  <si>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</si>
  <si>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</si>
  <si>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</si>
  <si>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</si>
  <si>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</si>
  <si>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</si>
  <si>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</si>
  <si>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</si>
  <si>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</si>
  <si>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</si>
  <si>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</si>
  <si>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</si>
  <si>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</si>
  <si>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</si>
  <si>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</si>
  <si>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</si>
  <si>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</si>
  <si>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</si>
  <si>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</si>
  <si>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</si>
  <si>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</si>
  <si>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</si>
  <si>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</si>
  <si>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</si>
  <si>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</si>
  <si>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</si>
  <si>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</si>
  <si>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</si>
  <si>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</si>
  <si>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</si>
  <si>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</si>
  <si>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</si>
  <si>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</si>
  <si>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</si>
  <si>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</si>
  <si>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</si>
  <si>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</si>
  <si>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</si>
  <si>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</si>
  <si>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</si>
  <si>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</si>
  <si>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</si>
  <si>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</si>
  <si>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</si>
  <si>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</si>
  <si>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</si>
  <si>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</si>
  <si>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</si>
  <si>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</si>
  <si>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</si>
  <si>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</si>
  <si>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</si>
  <si>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</si>
  <si>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</si>
  <si>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</si>
  <si>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</si>
  <si>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</si>
  <si>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</si>
  <si>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</si>
  <si>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</si>
  <si>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</si>
  <si>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</si>
  <si>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</si>
  <si>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</si>
  <si>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</si>
  <si>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</si>
  <si>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</si>
  <si>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</si>
  <si>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</si>
  <si>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</si>
  <si>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</si>
  <si>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</si>
  <si>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</si>
  <si>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</si>
  <si>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</si>
  <si>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</si>
  <si>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</si>
  <si>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</si>
  <si>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</si>
  <si>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</si>
  <si>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</si>
  <si>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</si>
  <si>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</si>
  <si>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</si>
  <si>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</si>
  <si>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</si>
  <si>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</si>
  <si>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</si>
  <si>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</si>
  <si>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</si>
  <si>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</si>
  <si>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</si>
  <si>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</si>
  <si>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</si>
  <si>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</si>
  <si>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</si>
  <si>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</si>
  <si>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</si>
  <si>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</si>
  <si>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</si>
  <si>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</si>
  <si>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</si>
  <si>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</si>
  <si>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</si>
  <si>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</si>
  <si>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</si>
  <si>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</si>
  <si>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</si>
  <si>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</si>
  <si>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</si>
  <si>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</si>
  <si>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</si>
  <si>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</si>
  <si>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</si>
  <si>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</si>
  <si>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</si>
  <si>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</si>
  <si>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</si>
  <si>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</si>
  <si>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</si>
  <si>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</si>
  <si>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</si>
  <si>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</si>
  <si>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</si>
  <si>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</si>
  <si>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</si>
  <si>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</si>
  <si>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</si>
  <si>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</si>
  <si>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</si>
  <si>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</si>
  <si>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</si>
  <si>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</si>
  <si>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</si>
  <si>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</si>
  <si>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</si>
  <si>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</si>
  <si>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</si>
  <si>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</si>
  <si>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</si>
  <si>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</si>
  <si>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</si>
  <si>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</si>
  <si>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</si>
  <si>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</si>
  <si>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</si>
  <si>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</si>
  <si>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</si>
  <si>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</si>
  <si>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</si>
  <si>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</si>
  <si>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</si>
  <si>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</si>
  <si>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</si>
  <si>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</si>
  <si>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</si>
  <si>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</si>
  <si>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</si>
  <si>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</si>
  <si>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</si>
  <si>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</si>
  <si>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</si>
  <si>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</si>
  <si>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</si>
  <si>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</si>
  <si>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</si>
  <si>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</si>
  <si>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</si>
  <si>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</si>
  <si>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</si>
  <si>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</si>
  <si>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</si>
  <si>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</si>
  <si>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</si>
  <si>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</si>
  <si>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</si>
  <si>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</si>
  <si>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</si>
  <si>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</si>
  <si>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</si>
  <si>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</si>
  <si>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</si>
  <si>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</si>
  <si>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</si>
  <si>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</si>
  <si>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</si>
  <si>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</si>
  <si>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</si>
  <si>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</si>
  <si>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</si>
  <si>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</si>
  <si>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</si>
  <si>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</si>
  <si>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</si>
  <si>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</si>
  <si>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</si>
  <si>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</si>
  <si>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</si>
  <si>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</si>
  <si>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</si>
  <si>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</si>
  <si>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</si>
  <si>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</si>
  <si>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</si>
  <si>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</si>
  <si>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</si>
  <si>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</si>
  <si>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</si>
  <si>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</si>
  <si>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</si>
  <si>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</si>
  <si>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</si>
  <si>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</si>
  <si>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</si>
  <si>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</si>
  <si>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</si>
  <si>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</si>
  <si>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</si>
  <si>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</si>
  <si>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</si>
  <si>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</si>
  <si>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</si>
  <si>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</si>
  <si>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</si>
  <si>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</si>
  <si>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</si>
  <si>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</si>
  <si>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</si>
  <si>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</si>
  <si>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</si>
  <si>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</si>
  <si>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</si>
  <si>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</si>
  <si>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</si>
  <si>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</si>
  <si>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</si>
  <si>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</si>
  <si>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</si>
  <si>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</si>
  <si>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</si>
  <si>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</si>
  <si>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</si>
  <si>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</si>
  <si>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</si>
  <si>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</si>
  <si>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</si>
  <si>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</si>
  <si>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</si>
  <si>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</si>
  <si>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</si>
  <si>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</si>
  <si>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</si>
  <si>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</si>
  <si>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</si>
  <si>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</si>
  <si>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</si>
  <si>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</si>
  <si>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</si>
  <si>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</si>
  <si>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</si>
  <si>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</si>
  <si>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</si>
  <si>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</si>
  <si>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</si>
  <si>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</si>
  <si>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</si>
  <si>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</si>
  <si>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</si>
  <si>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</si>
  <si>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</si>
  <si>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</si>
  <si>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</si>
  <si>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</si>
  <si>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</si>
  <si>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</si>
  <si>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</si>
  <si>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</si>
  <si>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</si>
  <si>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</si>
  <si>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</si>
  <si>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</si>
  <si>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</si>
  <si>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</si>
  <si>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</si>
  <si>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</si>
  <si>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</si>
  <si>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</si>
  <si>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</si>
  <si>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</si>
  <si>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</si>
  <si>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</si>
  <si>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</si>
  <si>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</si>
  <si>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</si>
  <si>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</si>
  <si>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</si>
  <si>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</si>
  <si>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</si>
  <si>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</si>
  <si>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</si>
  <si>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</si>
  <si>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</si>
  <si>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</si>
  <si>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</si>
  <si>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</si>
  <si>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</si>
  <si>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</si>
  <si>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</si>
  <si>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</si>
  <si>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</si>
  <si>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</si>
  <si>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</si>
  <si>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</si>
  <si>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</si>
  <si>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</si>
  <si>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</si>
  <si>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</si>
  <si>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</si>
  <si>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</si>
  <si>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</si>
  <si>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</si>
  <si>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</si>
  <si>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</si>
  <si>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</si>
  <si>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</si>
  <si>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</si>
  <si>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</si>
  <si>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</si>
  <si>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</si>
  <si>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</si>
  <si>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</si>
  <si>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</si>
  <si>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</si>
  <si>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</si>
  <si>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</si>
  <si>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</si>
  <si>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</si>
  <si>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</si>
  <si>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</si>
  <si>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</si>
  <si>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</si>
  <si>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</si>
  <si>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</si>
  <si>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</si>
  <si>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</si>
  <si>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</si>
  <si>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</si>
  <si>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</si>
  <si>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</si>
  <si>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</si>
  <si>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</si>
  <si>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</si>
  <si>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</si>
  <si>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</si>
  <si>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</si>
  <si>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</si>
  <si>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</si>
  <si>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</si>
  <si>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</si>
  <si>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</si>
  <si>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</si>
  <si>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</si>
  <si>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</si>
  <si>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</si>
  <si>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</si>
  <si>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</si>
  <si>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</si>
  <si>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</si>
  <si>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</si>
  <si>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</si>
  <si>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</si>
  <si>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</si>
  <si>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</si>
  <si>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</si>
  <si>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</si>
  <si>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</si>
  <si>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</si>
  <si>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</si>
  <si>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</si>
  <si>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</si>
  <si>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</si>
  <si>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</si>
  <si>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</si>
  <si>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</si>
  <si>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</si>
  <si>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</si>
  <si>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</si>
  <si>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</si>
  <si>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</si>
  <si>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</si>
  <si>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</si>
  <si>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</si>
  <si>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</si>
  <si>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</si>
  <si>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</si>
  <si>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</si>
  <si>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</si>
  <si>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</si>
  <si>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</si>
  <si>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</si>
  <si>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</si>
  <si>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</si>
  <si>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</si>
  <si>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</si>
  <si>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</si>
  <si>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</si>
  <si>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</si>
  <si>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</si>
  <si>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</si>
  <si>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</si>
  <si>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</si>
  <si>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</si>
  <si>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</si>
  <si>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</si>
  <si>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</si>
  <si>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</si>
  <si>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</si>
  <si>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</si>
  <si>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</si>
  <si>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</si>
  <si>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</si>
  <si>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</si>
  <si>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</si>
  <si>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</si>
  <si>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</si>
  <si>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</si>
  <si>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</si>
  <si>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</si>
  <si>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</si>
  <si>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</si>
  <si>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</si>
  <si>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</si>
  <si>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</si>
  <si>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</si>
  <si>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</si>
  <si>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</si>
  <si>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</si>
  <si>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</si>
  <si>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</si>
  <si>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</si>
  <si>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</si>
  <si>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</si>
  <si>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</si>
  <si>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</si>
  <si>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</si>
  <si>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</si>
  <si>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</si>
  <si>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</si>
  <si>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</si>
  <si>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</si>
  <si>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</si>
  <si>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</si>
  <si>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</si>
  <si>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</si>
  <si>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</si>
  <si>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</si>
  <si>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</si>
  <si>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</si>
  <si>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</si>
  <si>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</si>
  <si>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</si>
  <si>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</si>
  <si>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</si>
  <si>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</si>
  <si>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</si>
  <si>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</si>
  <si>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</si>
  <si>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</si>
  <si>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</si>
  <si>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</si>
  <si>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</si>
  <si>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</si>
  <si>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</si>
  <si>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</si>
  <si>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</si>
  <si>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</si>
  <si>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</si>
  <si>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</si>
  <si>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</si>
  <si>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</si>
  <si>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</si>
  <si>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</si>
  <si>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</si>
  <si>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</si>
  <si>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</si>
  <si>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</si>
  <si>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</si>
  <si>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</si>
  <si>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</si>
  <si>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</si>
  <si>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</si>
  <si>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</si>
  <si>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</si>
  <si>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</si>
  <si>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</si>
  <si>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</si>
  <si>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</si>
  <si>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</si>
  <si>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</si>
  <si>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</si>
  <si>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</si>
  <si>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</si>
  <si>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</si>
  <si>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</si>
  <si>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</si>
  <si>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</si>
  <si>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</si>
  <si>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</si>
  <si>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</si>
  <si>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</si>
  <si>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</si>
  <si>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</si>
  <si>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</si>
  <si>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</si>
  <si>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</si>
  <si>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</si>
  <si>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</si>
  <si>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</si>
  <si>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</si>
  <si>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</si>
  <si>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</si>
  <si>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</si>
  <si>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</si>
  <si>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</si>
  <si>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</si>
  <si>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</si>
  <si>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</si>
  <si>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</si>
  <si>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</si>
  <si>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</si>
  <si>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</si>
  <si>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</si>
  <si>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</si>
  <si>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</si>
  <si>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</si>
  <si>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</si>
  <si>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</si>
  <si>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</si>
  <si>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</si>
  <si>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</si>
  <si>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</si>
  <si>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</si>
  <si>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</si>
  <si>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</si>
  <si>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</si>
  <si>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</si>
  <si>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</si>
  <si>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</si>
  <si>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</si>
  <si>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</si>
  <si>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</si>
  <si>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</si>
  <si>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</si>
  <si>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</si>
  <si>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</si>
  <si>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</si>
  <si>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</si>
  <si>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</si>
  <si>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</si>
  <si>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</si>
  <si>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</si>
  <si>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</si>
  <si>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</si>
  <si>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</si>
  <si>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</si>
  <si>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</si>
  <si>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</si>
  <si>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</si>
  <si>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</si>
  <si>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</si>
  <si>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</si>
  <si>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</si>
  <si>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</si>
  <si>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</si>
  <si>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</si>
  <si>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</si>
  <si>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</si>
  <si>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</si>
  <si>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</si>
  <si>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</si>
  <si>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</si>
  <si>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</si>
  <si>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</si>
  <si>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</si>
  <si>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</si>
  <si>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</si>
  <si>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</si>
  <si>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</si>
  <si>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</si>
  <si>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</si>
  <si>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</si>
  <si>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</si>
  <si>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</si>
  <si>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</si>
  <si>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</si>
  <si>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</si>
  <si>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</si>
  <si>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</si>
  <si>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</si>
  <si>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</si>
  <si>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</si>
  <si>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</si>
  <si>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</si>
  <si>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</si>
  <si>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</si>
  <si>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</si>
  <si>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</si>
  <si>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</si>
  <si>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</si>
  <si>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</si>
  <si>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</si>
  <si>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</si>
  <si>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</si>
  <si>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</si>
  <si>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</si>
  <si>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</si>
  <si>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</si>
  <si>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</si>
  <si>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</si>
  <si>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</si>
  <si>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</si>
  <si>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</si>
  <si>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</si>
  <si>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</si>
  <si>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</si>
  <si>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</si>
  <si>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</si>
  <si>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</si>
  <si>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</si>
  <si>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</si>
  <si>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</si>
  <si>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</si>
  <si>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</si>
  <si>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</si>
  <si>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</si>
  <si>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</si>
  <si>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</si>
  <si>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</si>
  <si>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</si>
  <si>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</si>
  <si>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</si>
  <si>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</si>
  <si>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</si>
  <si>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</si>
  <si>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</si>
  <si>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</si>
  <si>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</si>
  <si>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</si>
  <si>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</si>
  <si>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</si>
  <si>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</si>
  <si>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</si>
  <si>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</si>
  <si>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</si>
  <si>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</si>
  <si>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</si>
  <si>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</si>
  <si>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</si>
  <si>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</si>
  <si>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</si>
  <si>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</si>
  <si>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</si>
  <si>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</si>
  <si>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</si>
  <si>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</si>
  <si>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</si>
  <si>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</si>
  <si>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</si>
  <si>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</si>
  <si>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</si>
  <si>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</si>
  <si>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</si>
  <si>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</si>
  <si>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</si>
  <si>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</si>
  <si>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</si>
  <si>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</si>
  <si>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</si>
  <si>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</si>
  <si>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</si>
  <si>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</si>
  <si>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</si>
  <si>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</si>
  <si>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</si>
  <si>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</si>
  <si>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</si>
  <si>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</si>
  <si>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</si>
  <si>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</si>
  <si>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</si>
  <si>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</si>
  <si>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</si>
  <si>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</si>
  <si>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</si>
  <si>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</si>
  <si>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</si>
  <si>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</si>
  <si>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</si>
  <si>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</si>
  <si>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</si>
  <si>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</si>
  <si>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</si>
  <si>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</si>
  <si>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</si>
  <si>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</si>
  <si>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</si>
  <si>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</si>
  <si>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</si>
  <si>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</si>
  <si>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</si>
  <si>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</si>
  <si>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</si>
  <si>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</si>
  <si>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</si>
  <si>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</si>
  <si>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</si>
  <si>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</si>
  <si>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</si>
  <si>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</si>
  <si>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</si>
  <si>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</si>
  <si>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</si>
  <si>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</si>
  <si>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</si>
  <si>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</si>
  <si>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</si>
  <si>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</si>
  <si>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</si>
  <si>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</si>
  <si>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</si>
  <si>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</si>
  <si>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</si>
  <si>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</si>
  <si>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</si>
  <si>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</si>
  <si>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</si>
  <si>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</si>
  <si>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</si>
  <si>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</si>
  <si>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</si>
  <si>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</si>
  <si>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</si>
  <si>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</si>
  <si>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</si>
  <si>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</si>
  <si>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</si>
  <si>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</si>
  <si>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</si>
  <si>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</si>
  <si>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</si>
  <si>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</si>
  <si>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</si>
  <si>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</si>
  <si>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</si>
  <si>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</si>
  <si>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</si>
  <si>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</si>
  <si>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</si>
  <si>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</si>
  <si>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</si>
  <si>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</si>
  <si>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</si>
  <si>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</si>
  <si>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</si>
  <si>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</si>
  <si>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</si>
  <si>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</si>
  <si>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</si>
  <si>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</si>
  <si>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</si>
  <si>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</si>
  <si>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</si>
  <si>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</si>
  <si>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</si>
  <si>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</si>
  <si>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</si>
  <si>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</si>
  <si>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</si>
  <si>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</si>
  <si>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</si>
  <si>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</si>
  <si>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</si>
  <si>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</si>
  <si>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</si>
  <si>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</si>
  <si>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</si>
  <si>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</si>
  <si>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</si>
  <si>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</si>
  <si>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</si>
  <si>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</si>
  <si>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</si>
  <si>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</si>
  <si>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</si>
  <si>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</si>
  <si>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</si>
  <si>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</si>
  <si>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</si>
  <si>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</si>
  <si>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</si>
  <si>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</si>
  <si>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</si>
  <si>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</si>
  <si>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</si>
  <si>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</si>
  <si>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</si>
  <si>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</si>
  <si>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</si>
  <si>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</si>
  <si>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</si>
  <si>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</si>
  <si>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</si>
  <si>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</si>
  <si>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</si>
  <si>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</si>
  <si>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</si>
  <si>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</si>
  <si>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</si>
  <si>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</si>
  <si>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</si>
  <si>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</si>
  <si>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</si>
  <si>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</si>
  <si>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</si>
  <si>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</si>
  <si>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</si>
  <si>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</si>
  <si>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</si>
  <si>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</si>
  <si>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</si>
  <si>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</si>
  <si>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</si>
  <si>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</si>
  <si>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</si>
  <si>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</si>
  <si>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</si>
  <si>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</si>
  <si>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</si>
  <si>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</si>
  <si>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</si>
  <si>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</si>
  <si>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</si>
  <si>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</si>
  <si>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</si>
  <si>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</si>
  <si>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</si>
  <si>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</si>
  <si>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</si>
  <si>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</si>
  <si>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</si>
  <si>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</si>
  <si>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</si>
  <si>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</si>
  <si>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</si>
  <si>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</si>
  <si>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</si>
  <si>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</si>
  <si>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</si>
  <si>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</si>
  <si>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</si>
  <si>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</si>
  <si>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</si>
  <si>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</si>
  <si>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</si>
  <si>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</si>
  <si>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</si>
  <si>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</si>
  <si>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</si>
  <si>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</si>
  <si>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</si>
  <si>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</si>
  <si>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</si>
  <si>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</si>
  <si>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</si>
  <si>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</si>
  <si>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</si>
  <si>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</si>
  <si>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</si>
  <si>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</si>
  <si>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</si>
  <si>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</si>
  <si>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</si>
  <si>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</si>
  <si>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</si>
  <si>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</si>
  <si>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</si>
  <si>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</si>
  <si>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</si>
  <si>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</si>
  <si>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</si>
  <si>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</si>
  <si>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</si>
  <si>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</si>
  <si>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</si>
  <si>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</si>
  <si>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</si>
  <si>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</si>
  <si>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</si>
  <si>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</si>
  <si>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</si>
  <si>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</si>
  <si>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</si>
  <si>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</si>
  <si>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</si>
  <si>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</si>
  <si>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</si>
  <si>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</si>
  <si>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</si>
  <si>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</si>
  <si>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</si>
  <si>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</si>
  <si>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</si>
  <si>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</si>
  <si>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</si>
  <si>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</si>
  <si>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</si>
  <si>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</si>
  <si>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</si>
  <si>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</si>
  <si>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</si>
  <si>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</si>
  <si>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</si>
  <si>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</si>
  <si>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</si>
  <si>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</si>
  <si>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</si>
  <si>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</si>
  <si>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</si>
  <si>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</si>
  <si>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</si>
  <si>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</si>
  <si>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</si>
  <si>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</si>
  <si>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</si>
  <si>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</si>
  <si>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</si>
  <si>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</si>
  <si>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</si>
  <si>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</si>
  <si>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</si>
  <si>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</si>
  <si>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</si>
  <si>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</si>
  <si>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</si>
  <si>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</si>
  <si>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</si>
  <si>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</si>
  <si>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</si>
  <si>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</si>
  <si>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</si>
  <si>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</si>
  <si>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</si>
  <si>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</si>
  <si>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</si>
  <si>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</si>
  <si>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</si>
  <si>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</si>
  <si>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</si>
  <si>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</si>
  <si>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</si>
  <si>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</si>
  <si>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</si>
  <si>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</si>
  <si>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</si>
  <si>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</si>
  <si>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</si>
  <si>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</si>
  <si>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</si>
  <si>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</si>
  <si>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</si>
  <si>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</si>
  <si>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</si>
  <si>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</si>
  <si>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</si>
  <si>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</si>
  <si>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</si>
  <si>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</si>
  <si>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</si>
  <si>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</si>
  <si>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</si>
  <si>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</si>
  <si>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</si>
  <si>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</si>
  <si>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</si>
  <si>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</si>
  <si>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</si>
  <si>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</si>
  <si>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</si>
  <si>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</si>
  <si>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</si>
  <si>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</si>
  <si>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</si>
  <si>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</si>
  <si>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</si>
  <si>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</si>
  <si>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</si>
  <si>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</si>
  <si>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</si>
  <si>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</si>
  <si>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</si>
  <si>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</si>
  <si>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</si>
  <si>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</si>
  <si>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</si>
  <si>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</si>
  <si>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</si>
  <si>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</si>
  <si>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</si>
  <si>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</si>
  <si>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</si>
  <si>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</si>
  <si>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</si>
  <si>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</si>
  <si>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</si>
  <si>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</si>
  <si>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</si>
  <si>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</si>
  <si>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</si>
  <si>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</si>
  <si>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</si>
  <si>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</si>
  <si>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</si>
  <si>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</si>
  <si>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</si>
  <si>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</si>
  <si>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</si>
  <si>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</si>
  <si>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</si>
  <si>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</si>
  <si>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</si>
  <si>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</si>
  <si>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</si>
  <si>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</si>
  <si>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</si>
  <si>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</si>
  <si>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</si>
  <si>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</si>
  <si>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</si>
  <si>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</si>
  <si>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</si>
  <si>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</si>
  <si>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</si>
  <si>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</si>
  <si>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</si>
  <si>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</si>
  <si>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</si>
  <si>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</si>
  <si>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</si>
  <si>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</si>
  <si>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</si>
  <si>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</si>
  <si>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</si>
  <si>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</si>
  <si>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</si>
  <si>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</si>
  <si>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</si>
  <si>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</si>
  <si>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</si>
  <si>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</si>
  <si>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</si>
  <si>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</si>
  <si>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</si>
  <si>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</si>
  <si>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</si>
  <si>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</si>
  <si>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</si>
  <si>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</si>
  <si>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</si>
  <si>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</si>
  <si>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</si>
  <si>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</si>
  <si>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</si>
  <si>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</si>
  <si>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</si>
  <si>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</si>
  <si>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</si>
  <si>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</si>
  <si>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</si>
  <si>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</si>
  <si>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</si>
  <si>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</si>
  <si>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</si>
  <si>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</si>
  <si>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</si>
  <si>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</si>
  <si>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</si>
  <si>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</si>
  <si>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</si>
  <si>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</si>
  <si>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</si>
  <si>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</si>
  <si>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</si>
  <si>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</si>
  <si>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</si>
  <si>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</si>
  <si>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</si>
  <si>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</si>
  <si>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</si>
  <si>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</si>
  <si>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</si>
  <si>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</si>
  <si>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</si>
  <si>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</si>
  <si>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</si>
  <si>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</si>
  <si>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</si>
  <si>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</si>
  <si>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</si>
  <si>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</si>
  <si>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</si>
  <si>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</si>
  <si>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</si>
  <si>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</si>
  <si>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</si>
  <si>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</si>
  <si>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</si>
  <si>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</si>
  <si>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</si>
  <si>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</si>
  <si>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</si>
  <si>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</si>
  <si>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</si>
  <si>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</si>
  <si>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</si>
  <si>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</si>
  <si>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</si>
  <si>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</si>
  <si>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</si>
  <si>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</si>
  <si>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</si>
  <si>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</si>
  <si>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</si>
  <si>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</si>
  <si>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</si>
  <si>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</si>
  <si>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</si>
  <si>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</si>
  <si>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</si>
  <si>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</si>
  <si>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</si>
  <si>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</si>
  <si>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</si>
  <si>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</si>
  <si>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</si>
  <si>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</si>
  <si>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</si>
  <si>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</si>
  <si>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</si>
  <si>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</si>
  <si>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</si>
  <si>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</si>
  <si>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</si>
  <si>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</si>
  <si>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</si>
  <si>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</si>
  <si>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</si>
  <si>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</si>
  <si>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</si>
  <si>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</si>
  <si>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</si>
  <si>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</si>
  <si>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</si>
  <si>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</si>
  <si>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</si>
  <si>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</si>
  <si>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</si>
  <si>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</si>
  <si>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</si>
  <si>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</si>
  <si>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</si>
  <si>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</si>
  <si>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</si>
  <si>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</si>
  <si>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</si>
  <si>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</si>
  <si>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</si>
  <si>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</si>
  <si>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</si>
  <si>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</si>
  <si>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</si>
  <si>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</si>
  <si>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</si>
  <si>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</si>
  <si>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</si>
  <si>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</si>
  <si>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</si>
  <si>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</si>
  <si>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</si>
  <si>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</si>
  <si>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</si>
  <si>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</si>
  <si>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</si>
  <si>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</si>
  <si>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</si>
  <si>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</si>
  <si>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</si>
  <si>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</si>
  <si>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</si>
  <si>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</si>
  <si>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</si>
  <si>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</si>
  <si>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</si>
  <si>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</si>
  <si>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</si>
  <si>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</si>
  <si>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</si>
  <si>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</si>
  <si>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</si>
  <si>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</si>
  <si>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</si>
  <si>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</si>
  <si>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</si>
  <si>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</si>
  <si>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</si>
  <si>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</si>
  <si>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</si>
  <si>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</si>
  <si>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</si>
  <si>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</si>
  <si>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</si>
  <si>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</si>
  <si>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</si>
  <si>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</si>
  <si>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</si>
  <si>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</si>
  <si>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</si>
  <si>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</si>
  <si>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</si>
  <si>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</si>
  <si>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</si>
  <si>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</si>
  <si>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</si>
  <si>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</si>
  <si>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</si>
  <si>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</si>
  <si>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</si>
  <si>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</si>
  <si>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</si>
  <si>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</si>
  <si>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</si>
  <si>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</si>
  <si>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</si>
  <si>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</si>
  <si>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</si>
  <si>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</si>
  <si>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</si>
  <si>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</si>
  <si>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</si>
  <si>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</si>
  <si>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</si>
  <si>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</si>
  <si>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</si>
  <si>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</si>
  <si>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</si>
  <si>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</si>
  <si>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</si>
  <si>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</si>
  <si>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</si>
  <si>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</si>
  <si>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</si>
  <si>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</si>
  <si>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</si>
  <si>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</si>
  <si>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</si>
  <si>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</si>
  <si>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</si>
  <si>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</si>
  <si>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</si>
  <si>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</si>
  <si>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</si>
  <si>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</si>
  <si>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</si>
  <si>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</si>
  <si>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</si>
  <si>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</si>
  <si>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</si>
  <si>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</si>
  <si>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</si>
  <si>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</si>
  <si>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</si>
  <si>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</si>
  <si>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</si>
  <si>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</si>
  <si>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</si>
  <si>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</si>
  <si>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</si>
  <si>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</si>
  <si>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</si>
  <si>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</si>
  <si>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</si>
  <si>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</si>
  <si>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</si>
  <si>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</si>
  <si>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</si>
  <si>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</si>
  <si>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</si>
  <si>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</si>
  <si>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</si>
  <si>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</si>
  <si>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</si>
  <si>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</si>
  <si>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</si>
  <si>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</si>
  <si>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</si>
  <si>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</si>
  <si>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</si>
  <si>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</si>
  <si>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</si>
  <si>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</si>
  <si>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</si>
  <si>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</si>
  <si>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</si>
  <si>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</si>
  <si>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</si>
  <si>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</si>
  <si>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</si>
  <si>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</si>
  <si>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</si>
  <si>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</si>
  <si>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</si>
  <si>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</si>
  <si>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</si>
  <si>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</si>
  <si>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</si>
  <si>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</si>
  <si>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</si>
  <si>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</si>
  <si>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</si>
  <si>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</si>
  <si>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</si>
  <si>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</si>
  <si>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</si>
  <si>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</si>
  <si>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</si>
  <si>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</si>
  <si>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</si>
  <si>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</si>
  <si>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</si>
  <si>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</si>
  <si>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</si>
  <si>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</si>
  <si>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</si>
  <si>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</si>
  <si>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</si>
  <si>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</si>
  <si>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</si>
  <si>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</si>
  <si>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</si>
  <si>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</si>
  <si>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</si>
  <si>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</si>
  <si>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</si>
  <si>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</si>
  <si>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</si>
  <si>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</si>
  <si>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</si>
  <si>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</si>
  <si>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</si>
  <si>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</si>
  <si>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</si>
  <si>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</si>
  <si>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</si>
  <si>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</si>
  <si>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</si>
  <si>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</si>
  <si>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</si>
  <si>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</si>
  <si>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</si>
  <si>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</si>
  <si>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</si>
  <si>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</si>
  <si>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</si>
  <si>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</si>
  <si>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</si>
  <si>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</si>
  <si>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</si>
  <si>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</si>
  <si>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</si>
  <si>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</si>
  <si>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</si>
  <si>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</si>
  <si>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</si>
  <si>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</si>
  <si>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</si>
  <si>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</si>
  <si>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</si>
  <si>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</si>
  <si>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</si>
  <si>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</si>
  <si>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</si>
  <si>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</si>
  <si>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</si>
  <si>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</si>
  <si>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</si>
  <si>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</si>
  <si>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</si>
  <si>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</si>
  <si>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</si>
  <si>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</si>
  <si>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</si>
  <si>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</si>
  <si>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</si>
  <si>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</si>
  <si>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</si>
  <si>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</si>
  <si>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</si>
  <si>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</si>
  <si>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</si>
  <si>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</si>
  <si>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</si>
  <si>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</si>
  <si>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</si>
  <si>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</si>
  <si>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</si>
  <si>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</si>
  <si>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</si>
  <si>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</si>
  <si>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</si>
  <si>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</si>
  <si>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</si>
  <si>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</si>
  <si>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</si>
  <si>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</si>
  <si>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</si>
  <si>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</si>
  <si>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</si>
  <si>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</si>
  <si>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</si>
  <si>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</si>
  <si>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</si>
  <si>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</si>
  <si>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</si>
  <si>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</si>
  <si>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</si>
  <si>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</si>
  <si>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</si>
  <si>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</si>
  <si>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</si>
  <si>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</si>
  <si>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</si>
  <si>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</si>
  <si>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</si>
  <si>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</si>
  <si>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</si>
  <si>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</si>
  <si>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</si>
  <si>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</si>
  <si>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</si>
  <si>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</si>
  <si>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</si>
  <si>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</si>
  <si>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</si>
  <si>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</si>
  <si>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</si>
  <si>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</si>
  <si>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</si>
  <si>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</si>
  <si>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</si>
  <si>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</si>
  <si>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</si>
  <si>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</si>
  <si>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</si>
  <si>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</si>
  <si>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</si>
  <si>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</si>
  <si>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</si>
  <si>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</si>
  <si>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</si>
  <si>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</si>
  <si>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</si>
  <si>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</si>
  <si>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</si>
  <si>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</si>
  <si>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</si>
  <si>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</si>
  <si>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</si>
  <si>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</si>
  <si>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</si>
  <si>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</si>
  <si>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</si>
  <si>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</si>
  <si>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</si>
  <si>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</si>
  <si>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</si>
  <si>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</si>
  <si>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</si>
  <si>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</si>
  <si>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</si>
  <si>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</si>
  <si>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</si>
  <si>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</si>
  <si>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</si>
  <si>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</si>
  <si>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</si>
  <si>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</si>
  <si>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</si>
  <si>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</si>
  <si>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</si>
  <si>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</si>
  <si>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</si>
  <si>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</si>
  <si>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</si>
  <si>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</si>
  <si>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</si>
  <si>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</si>
  <si>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</si>
  <si>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</si>
  <si>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</si>
  <si>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</si>
  <si>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</si>
  <si>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</si>
  <si>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</si>
  <si>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</si>
  <si>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</si>
  <si>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</si>
  <si>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</si>
  <si>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</si>
  <si>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</si>
  <si>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</si>
  <si>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</si>
  <si>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</si>
  <si>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</si>
  <si>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</si>
  <si>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</si>
  <si>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</si>
  <si>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</si>
  <si>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</si>
  <si>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</si>
  <si>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</si>
  <si>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</si>
  <si>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</si>
  <si>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</si>
  <si>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</si>
  <si>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</si>
  <si>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</si>
  <si>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</si>
  <si>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</si>
  <si>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</si>
  <si>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</si>
  <si>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</si>
  <si>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</si>
  <si>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</si>
  <si>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</si>
  <si>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</si>
  <si>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</si>
  <si>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</si>
  <si>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</si>
  <si>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</si>
  <si>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</si>
  <si>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</si>
  <si>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</si>
  <si>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</si>
  <si>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</si>
  <si>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</si>
  <si>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</si>
  <si>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</si>
  <si>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</si>
  <si>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</si>
  <si>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</si>
  <si>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</si>
  <si>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</si>
  <si>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</si>
  <si>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</si>
  <si>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</si>
  <si>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</si>
  <si>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</si>
  <si>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</si>
  <si>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</si>
  <si>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</si>
  <si>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</si>
  <si>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</si>
  <si>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</si>
  <si>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</si>
  <si>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</si>
  <si>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</si>
  <si>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</si>
  <si>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</si>
  <si>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</si>
  <si>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</si>
  <si>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</si>
  <si>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</si>
  <si>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</si>
  <si>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</si>
  <si>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</si>
  <si>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</si>
  <si>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</si>
  <si>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</si>
  <si>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</si>
  <si>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</si>
  <si>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</si>
  <si>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</si>
  <si>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</si>
  <si>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</si>
  <si>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</si>
  <si>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</si>
  <si>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</si>
  <si>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</si>
  <si>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</si>
  <si>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</si>
  <si>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</si>
  <si>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</si>
  <si>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</si>
  <si>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</si>
  <si>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</si>
  <si>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</si>
  <si>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</si>
  <si>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</si>
  <si>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</si>
  <si>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</si>
  <si>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</si>
  <si>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</si>
  <si>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</si>
  <si>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</si>
  <si>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</si>
  <si>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</si>
  <si>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</si>
  <si>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</si>
  <si>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</si>
  <si>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</si>
  <si>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</si>
  <si>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</si>
  <si>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</si>
  <si>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</si>
  <si>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</si>
  <si>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</si>
  <si>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</si>
  <si>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</si>
  <si>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</si>
  <si>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</si>
  <si>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</si>
  <si>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</si>
  <si>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</si>
  <si>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</si>
  <si>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</si>
  <si>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</si>
  <si>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</si>
  <si>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</si>
  <si>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</si>
  <si>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</si>
  <si>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</si>
  <si>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</si>
  <si>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</si>
  <si>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</si>
  <si>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</si>
  <si>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</si>
  <si>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</si>
  <si>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</si>
  <si>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</si>
  <si>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</si>
  <si>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</si>
  <si>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</si>
  <si>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</si>
  <si>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</si>
  <si>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</si>
  <si>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</si>
  <si>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</si>
  <si>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</si>
  <si>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</si>
  <si>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</si>
  <si>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</si>
  <si>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</si>
  <si>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</si>
  <si>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</si>
  <si>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</si>
  <si>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</si>
  <si>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</si>
  <si>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</si>
  <si>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</si>
  <si>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</si>
  <si>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</si>
  <si>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</si>
  <si>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</si>
  <si>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</si>
  <si>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</si>
  <si>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</si>
  <si>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</si>
  <si>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</si>
  <si>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</si>
  <si>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</si>
  <si>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</si>
  <si>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</si>
  <si>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</si>
  <si>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</si>
  <si>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</si>
  <si>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</si>
  <si>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</si>
  <si>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</si>
  <si>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</si>
  <si>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</si>
  <si>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</si>
  <si>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</si>
  <si>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</si>
  <si>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</si>
  <si>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</si>
  <si>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</si>
  <si>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</si>
  <si>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</si>
  <si>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</si>
  <si>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</si>
  <si>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</si>
  <si>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</si>
  <si>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</si>
  <si>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</si>
  <si>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</si>
  <si>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</si>
  <si>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</si>
  <si>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</si>
  <si>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</si>
  <si>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</si>
  <si>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</si>
  <si>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</si>
  <si>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</si>
  <si>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</si>
  <si>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</si>
  <si>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</si>
  <si>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</si>
  <si>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</si>
  <si>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</si>
  <si>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</si>
  <si>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</si>
  <si>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</si>
  <si>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</si>
  <si>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</si>
  <si>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</si>
  <si>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</si>
  <si>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</si>
  <si>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</si>
  <si>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</si>
  <si>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</si>
  <si>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</si>
  <si>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</si>
  <si>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</si>
  <si>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</si>
  <si>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</si>
  <si>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</si>
  <si>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</si>
  <si>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</si>
  <si>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</si>
  <si>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</si>
  <si>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</si>
  <si>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</si>
  <si>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</si>
  <si>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</si>
  <si>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</si>
  <si>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</si>
  <si>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</si>
  <si>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</si>
  <si>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</si>
  <si>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</si>
  <si>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</si>
  <si>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</si>
  <si>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</si>
  <si>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</si>
  <si>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</si>
  <si>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</si>
  <si>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</si>
  <si>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</si>
  <si>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</si>
  <si>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</si>
  <si>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</si>
  <si>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</si>
  <si>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</si>
  <si>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</si>
  <si>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</si>
  <si>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</si>
  <si>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</si>
  <si>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</si>
  <si>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</si>
  <si>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</si>
  <si>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</si>
  <si>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</si>
  <si>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</si>
  <si>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</si>
  <si>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</si>
  <si>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</si>
  <si>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</si>
  <si>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</si>
  <si>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</si>
  <si>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</si>
  <si>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</si>
  <si>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</si>
  <si>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</si>
  <si>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</si>
  <si>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</si>
  <si>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</si>
  <si>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</si>
  <si>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</si>
  <si>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</si>
  <si>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</si>
  <si>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</si>
  <si>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</si>
  <si>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</si>
  <si>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</si>
  <si>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</si>
  <si>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</si>
  <si>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</si>
  <si>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</si>
  <si>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</si>
  <si>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</si>
  <si>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</si>
  <si>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</si>
  <si>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</si>
  <si>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</si>
  <si>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</si>
  <si>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</si>
  <si>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</si>
  <si>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</si>
  <si>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</si>
  <si>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</si>
  <si>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</si>
  <si>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</si>
  <si>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</si>
  <si>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</si>
  <si>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</si>
  <si>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</si>
  <si>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</si>
  <si>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</si>
  <si>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</si>
  <si>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</si>
  <si>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</si>
  <si>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</si>
  <si>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</si>
  <si>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</si>
  <si>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</si>
  <si>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</si>
  <si>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</si>
  <si>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</si>
  <si>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</si>
  <si>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</si>
  <si>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</si>
  <si>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</si>
  <si>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</si>
  <si>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</si>
  <si>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</si>
  <si>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</si>
  <si>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</si>
  <si>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</si>
  <si>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</si>
  <si>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</si>
  <si>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</si>
  <si>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</si>
  <si>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</si>
  <si>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</si>
  <si>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</si>
  <si>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</si>
  <si>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</si>
  <si>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</si>
  <si>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</si>
  <si>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</si>
  <si>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</si>
  <si>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</si>
  <si>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</si>
  <si>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</si>
  <si>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</si>
  <si>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</si>
  <si>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</si>
  <si>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</si>
  <si>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</si>
  <si>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</si>
  <si>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</si>
  <si>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</si>
  <si>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</si>
  <si>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</si>
  <si>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</si>
  <si>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</si>
  <si>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</si>
  <si>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</si>
  <si>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</si>
  <si>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</si>
  <si>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</si>
  <si>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</si>
  <si>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</si>
  <si>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</si>
  <si>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</si>
  <si>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</si>
  <si>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</si>
  <si>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</si>
  <si>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</si>
  <si>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</si>
  <si>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</si>
  <si>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</si>
  <si>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</si>
  <si>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</si>
  <si>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</si>
  <si>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</si>
  <si>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</si>
  <si>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</si>
  <si>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</si>
  <si>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</si>
  <si>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</si>
  <si>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</si>
  <si>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</si>
  <si>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</si>
  <si>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</si>
  <si>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</si>
  <si>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</si>
  <si>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</si>
  <si>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</si>
  <si>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</si>
  <si>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</si>
  <si>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</si>
  <si>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</si>
  <si>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</si>
  <si>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</si>
  <si>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</si>
  <si>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</si>
  <si>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</si>
  <si>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</si>
  <si>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</si>
  <si>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</si>
  <si>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</si>
  <si>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</si>
  <si>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</si>
  <si>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</si>
  <si>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</si>
  <si>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</si>
  <si>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</si>
  <si>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</si>
  <si>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</si>
  <si>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</si>
  <si>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</si>
  <si>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</si>
  <si>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</si>
  <si>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</si>
  <si>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</si>
  <si>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</si>
  <si>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</si>
  <si>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</si>
  <si>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</si>
  <si>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</si>
  <si>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</si>
  <si>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</si>
  <si>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</si>
  <si>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</si>
  <si>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</si>
  <si>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</si>
  <si>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</si>
  <si>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</si>
  <si>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</si>
  <si>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</si>
  <si>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</si>
  <si>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</si>
  <si>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</si>
  <si>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</si>
  <si>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</si>
  <si>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</si>
  <si>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</si>
  <si>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</si>
  <si>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</si>
  <si>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</si>
  <si>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</si>
  <si>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</si>
  <si>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</si>
  <si>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</si>
  <si>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</si>
  <si>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</si>
  <si>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</si>
  <si>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</si>
  <si>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</si>
  <si>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</si>
  <si>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</si>
  <si>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</si>
  <si>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</si>
  <si>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</si>
  <si>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</si>
  <si>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</si>
  <si>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</si>
  <si>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</si>
  <si>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</si>
  <si>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</si>
  <si>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</si>
  <si>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</si>
  <si>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</si>
  <si>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</si>
  <si>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</si>
  <si>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</si>
  <si>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</si>
  <si>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</si>
  <si>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</si>
  <si>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</si>
  <si>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</si>
  <si>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</si>
  <si>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</si>
  <si>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</si>
  <si>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</si>
  <si>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</si>
  <si>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</si>
  <si>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</si>
  <si>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</si>
  <si>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</si>
  <si>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</si>
  <si>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</si>
  <si>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</si>
  <si>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</si>
  <si>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</si>
  <si>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</si>
  <si>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</si>
  <si>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</si>
  <si>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</si>
  <si>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</si>
  <si>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</si>
  <si>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</si>
  <si>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</si>
  <si>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</si>
  <si>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</si>
  <si>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</si>
  <si>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</si>
  <si>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</si>
  <si>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</si>
  <si>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</si>
  <si>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</si>
  <si>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</si>
  <si>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</si>
  <si>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</si>
  <si>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</si>
  <si>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</si>
  <si>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</si>
  <si>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</si>
  <si>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</si>
  <si>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</si>
  <si>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</si>
  <si>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</si>
  <si>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</si>
  <si>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</si>
  <si>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</si>
  <si>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</si>
  <si>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</si>
  <si>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</si>
  <si>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</si>
  <si>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</si>
  <si>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</si>
  <si>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</si>
  <si>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</si>
  <si>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</si>
  <si>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</si>
  <si>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</si>
  <si>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</si>
  <si>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</si>
  <si>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</si>
  <si>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</si>
  <si>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</si>
  <si>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</si>
  <si>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</si>
  <si>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</si>
  <si>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</si>
  <si>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</si>
  <si>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</si>
  <si>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</si>
  <si>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</si>
  <si>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</si>
  <si>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</si>
  <si>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</si>
  <si>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</si>
  <si>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</si>
  <si>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</si>
  <si>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</si>
  <si>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</si>
  <si>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</si>
  <si>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</si>
  <si>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</si>
  <si>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</si>
  <si>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</si>
  <si>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</si>
  <si>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</si>
  <si>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</si>
  <si>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</si>
  <si>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</si>
  <si>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</si>
  <si>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</si>
  <si>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</si>
  <si>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</si>
  <si>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</si>
  <si>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</si>
  <si>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</si>
  <si>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</si>
  <si>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</si>
  <si>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</si>
  <si>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</si>
  <si>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</si>
  <si>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</si>
  <si>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</si>
  <si>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</si>
  <si>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</si>
  <si>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</si>
  <si>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</si>
  <si>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</si>
  <si>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</si>
  <si>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</si>
  <si>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</si>
  <si>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</si>
  <si>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</si>
  <si>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</si>
  <si>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</si>
  <si>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</si>
  <si>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</si>
  <si>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</si>
  <si>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</si>
  <si>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</si>
  <si>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</si>
  <si>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</si>
  <si>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</si>
  <si>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</si>
  <si>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</si>
  <si>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</si>
  <si>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</si>
  <si>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</si>
  <si>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</si>
  <si>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</si>
  <si>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</si>
  <si>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</si>
  <si>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</si>
  <si>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</si>
  <si>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</si>
  <si>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</si>
  <si>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</si>
  <si>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</si>
  <si>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</si>
  <si>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</si>
  <si>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</si>
  <si>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</si>
  <si>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</si>
  <si>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</si>
  <si>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</si>
  <si>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</si>
  <si>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</si>
  <si>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</si>
  <si>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</si>
  <si>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</si>
  <si>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</si>
  <si>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</si>
  <si>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</si>
  <si>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</si>
  <si>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</si>
  <si>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</si>
  <si>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</si>
  <si>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</si>
  <si>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</si>
  <si>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</si>
  <si>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</si>
  <si>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</si>
  <si>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</si>
  <si>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</si>
  <si>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</si>
  <si>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</si>
  <si>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</si>
  <si>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</si>
  <si>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</si>
  <si>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</si>
  <si>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</si>
  <si>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</si>
  <si>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</si>
  <si>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</si>
  <si>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</si>
  <si>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</si>
  <si>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</si>
  <si>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</si>
  <si>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</si>
  <si>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</si>
  <si>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</si>
  <si>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</si>
  <si>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</si>
  <si>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</si>
  <si>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</si>
  <si>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</si>
  <si>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</si>
  <si>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</si>
  <si>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</si>
  <si>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</si>
  <si>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</si>
  <si>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</si>
  <si>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</si>
  <si>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</si>
  <si>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</si>
  <si>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</si>
  <si>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</si>
  <si>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</si>
  <si>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</si>
  <si>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</si>
  <si>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</si>
  <si>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</si>
  <si>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</si>
  <si>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</si>
  <si>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</si>
  <si>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</si>
  <si>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</si>
  <si>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</si>
  <si>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</si>
  <si>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</si>
  <si>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</si>
  <si>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</si>
  <si>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</si>
  <si>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</si>
  <si>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</si>
  <si>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</si>
  <si>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</si>
  <si>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</si>
  <si>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</si>
  <si>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</si>
  <si>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</si>
  <si>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</si>
  <si>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</si>
  <si>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</si>
  <si>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</si>
  <si>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</si>
  <si>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</si>
  <si>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</si>
  <si>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</si>
  <si>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</si>
  <si>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</si>
  <si>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</si>
  <si>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</si>
  <si>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</si>
  <si>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</si>
  <si>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</si>
  <si>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</si>
  <si>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</si>
  <si>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</si>
  <si>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</si>
  <si>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</si>
  <si>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</si>
  <si>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</si>
  <si>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</si>
  <si>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</si>
  <si>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</si>
  <si>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</si>
  <si>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</si>
  <si>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</si>
  <si>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</si>
  <si>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</si>
  <si>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</si>
  <si>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</si>
  <si>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</si>
  <si>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</si>
  <si>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</si>
  <si>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</si>
  <si>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</si>
  <si>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</si>
  <si>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</si>
  <si>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</si>
  <si>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</si>
  <si>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</si>
  <si>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</si>
  <si>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</si>
  <si>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</si>
  <si>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</si>
  <si>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</si>
  <si>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</si>
  <si>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</si>
  <si>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</si>
  <si>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</si>
  <si>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</si>
  <si>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</si>
  <si>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</si>
  <si>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</si>
  <si>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</si>
  <si>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</si>
  <si>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</si>
  <si>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</si>
  <si>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</si>
  <si>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</si>
  <si>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</si>
  <si>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</si>
  <si>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</si>
  <si>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</si>
  <si>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</si>
  <si>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</si>
  <si>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</si>
  <si>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</si>
  <si>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</si>
  <si>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</si>
  <si>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</si>
  <si>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</si>
  <si>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</si>
  <si>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</si>
  <si>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</si>
  <si>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</si>
  <si>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</si>
  <si>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</si>
  <si>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</si>
  <si>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</si>
  <si>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</si>
  <si>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</si>
  <si>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</si>
  <si>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</si>
  <si>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</si>
  <si>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</si>
  <si>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</si>
  <si>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</si>
  <si>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</si>
  <si>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</si>
  <si>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</si>
  <si>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</si>
  <si>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</si>
  <si>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</si>
  <si>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</si>
  <si>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</si>
  <si>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</si>
  <si>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</si>
  <si>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</si>
  <si>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</si>
  <si>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</si>
  <si>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</si>
  <si>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</si>
  <si>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</si>
  <si>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</si>
  <si>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</si>
  <si>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</si>
  <si>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</si>
  <si>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</si>
  <si>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</si>
  <si>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</si>
  <si>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</si>
  <si>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</si>
  <si>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</si>
  <si>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</si>
  <si>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</si>
  <si>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</si>
  <si>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</si>
  <si>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</si>
  <si>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</si>
  <si>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</si>
  <si>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</si>
  <si>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</si>
  <si>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</si>
  <si>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</si>
  <si>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</si>
  <si>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</si>
  <si>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</si>
  <si>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</si>
  <si>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</si>
  <si>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</si>
  <si>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</si>
  <si>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</si>
  <si>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</si>
  <si>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</si>
  <si>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</si>
  <si>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</si>
  <si>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</si>
  <si>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</si>
  <si>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</si>
  <si>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</si>
  <si>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</si>
  <si>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</si>
  <si>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</si>
  <si>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</si>
  <si>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</si>
  <si>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</si>
  <si>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</si>
  <si>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</si>
  <si>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</si>
  <si>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</si>
  <si>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</si>
  <si>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</si>
  <si>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</si>
  <si>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</si>
  <si>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</si>
  <si>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</si>
  <si>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</si>
  <si>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</si>
  <si>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</si>
  <si>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</si>
  <si>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</si>
  <si>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</si>
  <si>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</si>
  <si>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</si>
  <si>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</si>
  <si>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</si>
  <si>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</si>
  <si>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</si>
  <si>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</si>
  <si>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</si>
  <si>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</si>
  <si>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</si>
  <si>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</si>
  <si>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</si>
  <si>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</si>
  <si>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</si>
  <si>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</si>
  <si>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</si>
  <si>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</si>
  <si>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</si>
  <si>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</si>
  <si>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</si>
  <si>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</si>
  <si>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</si>
  <si>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</si>
  <si>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</si>
  <si>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</si>
  <si>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</si>
  <si>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</si>
  <si>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</si>
  <si>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</si>
  <si>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</si>
  <si>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</si>
  <si>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</si>
  <si>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</si>
  <si>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</si>
  <si>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</si>
  <si>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</si>
  <si>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</si>
  <si>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</si>
  <si>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</si>
  <si>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</si>
  <si>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</si>
  <si>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</si>
  <si>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</si>
  <si>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</si>
  <si>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</si>
  <si>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</si>
  <si>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</si>
  <si>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</si>
  <si>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</si>
  <si>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</si>
  <si>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</si>
  <si>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</si>
  <si>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</si>
  <si>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</si>
  <si>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</si>
  <si>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</si>
  <si>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</si>
  <si>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</si>
  <si>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</si>
  <si>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</si>
  <si>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</si>
  <si>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</si>
  <si>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</si>
  <si>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</si>
  <si>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</si>
  <si>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</si>
  <si>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</si>
  <si>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</si>
  <si>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</si>
  <si>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</si>
  <si>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</si>
  <si>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</si>
  <si>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</si>
  <si>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</si>
  <si>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</si>
  <si>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</si>
  <si>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</si>
  <si>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</si>
  <si>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</si>
  <si>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</si>
  <si>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</si>
  <si>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</si>
  <si>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</si>
  <si>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</si>
  <si>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</si>
  <si>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</si>
  <si>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</si>
  <si>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</si>
  <si>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</si>
  <si>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</si>
  <si>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</si>
  <si>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</si>
  <si>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</si>
  <si>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</si>
  <si>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</si>
  <si>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</si>
  <si>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</si>
  <si>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</si>
  <si>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</si>
  <si>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</si>
  <si>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</si>
  <si>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</si>
  <si>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</si>
  <si>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</si>
  <si>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</si>
  <si>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</si>
  <si>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</si>
  <si>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</si>
  <si>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</si>
  <si>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</si>
  <si>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</si>
  <si>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</si>
  <si>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</si>
  <si>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</si>
  <si>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</si>
  <si>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</si>
  <si>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</si>
  <si>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</si>
  <si>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</si>
  <si>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</si>
  <si>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</si>
  <si>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</si>
  <si>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</si>
  <si>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</si>
  <si>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</si>
  <si>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</si>
  <si>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</si>
  <si>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</si>
  <si>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</si>
  <si>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</si>
  <si>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</si>
  <si>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</si>
  <si>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</si>
  <si>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</si>
  <si>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</si>
  <si>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</si>
  <si>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</si>
  <si>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</si>
  <si>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</si>
  <si>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</si>
  <si>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</si>
  <si>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</si>
  <si>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</si>
  <si>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</si>
  <si>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</si>
  <si>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</si>
  <si>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</si>
  <si>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</si>
  <si>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</si>
  <si>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</si>
  <si>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</si>
  <si>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</si>
  <si>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</si>
  <si>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</si>
  <si>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</si>
  <si>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</si>
  <si>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</si>
  <si>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</si>
  <si>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</si>
  <si>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</si>
  <si>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</si>
  <si>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</si>
  <si>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</si>
  <si>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</si>
  <si>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</si>
  <si>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</si>
  <si>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</si>
  <si>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</si>
  <si>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</si>
  <si>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</si>
  <si>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</si>
  <si>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</si>
  <si>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</si>
  <si>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</si>
  <si>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</si>
  <si>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</si>
  <si>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</si>
  <si>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</si>
  <si>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</si>
  <si>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</si>
  <si>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</si>
  <si>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</si>
  <si>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</si>
  <si>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</si>
  <si>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</si>
  <si>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</si>
  <si>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</si>
  <si>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</si>
  <si>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</si>
  <si>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</si>
  <si>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</si>
  <si>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</si>
  <si>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</si>
  <si>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</si>
  <si>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</si>
  <si>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</si>
  <si>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</si>
  <si>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</si>
  <si>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</si>
  <si>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</si>
  <si>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</si>
  <si>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</si>
  <si>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</si>
  <si>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</si>
  <si>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</si>
  <si>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</si>
  <si>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</si>
  <si>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</si>
  <si>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</si>
  <si>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</si>
  <si>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</si>
  <si>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</si>
  <si>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</si>
  <si>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</si>
  <si>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</si>
  <si>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</si>
  <si>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</si>
  <si>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</si>
  <si>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</si>
  <si>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</si>
  <si>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</si>
  <si>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</si>
  <si>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</si>
  <si>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</si>
  <si>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</si>
  <si>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</si>
  <si>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</si>
  <si>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</si>
  <si>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</si>
  <si>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</si>
  <si>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</si>
  <si>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</si>
  <si>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</si>
  <si>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</si>
  <si>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</si>
  <si>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</si>
  <si>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</si>
  <si>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</si>
  <si>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</si>
  <si>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</si>
  <si>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</si>
  <si>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</si>
  <si>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</si>
  <si>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</si>
  <si>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</si>
  <si>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</si>
  <si>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</si>
  <si>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</si>
  <si>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</si>
  <si>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</si>
  <si>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</si>
  <si>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</si>
  <si>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</si>
  <si>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</si>
  <si>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</si>
  <si>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</si>
  <si>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</si>
  <si>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</si>
  <si>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</si>
  <si>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</si>
  <si>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</si>
  <si>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</si>
  <si>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</si>
  <si>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</si>
  <si>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</si>
  <si>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</si>
  <si>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</si>
  <si>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</si>
  <si>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</si>
  <si>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</si>
  <si>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</si>
  <si>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</si>
  <si>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</si>
  <si>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</si>
  <si>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</si>
  <si>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</si>
  <si>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</si>
  <si>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</si>
  <si>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</si>
  <si>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</si>
  <si>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</si>
  <si>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</si>
  <si>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</si>
  <si>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</si>
  <si>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</si>
  <si>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</si>
  <si>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</si>
  <si>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</si>
  <si>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</si>
  <si>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</si>
  <si>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</si>
  <si>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</si>
  <si>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</si>
  <si>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</si>
  <si>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</si>
  <si>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</si>
  <si>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</si>
  <si>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</si>
  <si>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</si>
  <si>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</si>
  <si>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</si>
  <si>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</si>
  <si>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</si>
  <si>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</si>
  <si>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</si>
  <si>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</si>
  <si>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</si>
  <si>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</si>
  <si>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</si>
  <si>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</si>
  <si>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</si>
  <si>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</si>
  <si>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</si>
  <si>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</si>
  <si>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</si>
  <si>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</si>
  <si>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</si>
  <si>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</si>
  <si>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</si>
  <si>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</si>
  <si>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</si>
  <si>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</si>
  <si>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</si>
  <si>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</si>
  <si>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</si>
  <si>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</si>
  <si>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</si>
  <si>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</si>
  <si>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</si>
  <si>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</si>
  <si>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</si>
  <si>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</si>
  <si>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</si>
  <si>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</si>
  <si>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</si>
  <si>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</si>
  <si>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</si>
  <si>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</si>
  <si>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</si>
  <si>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</si>
  <si>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</si>
  <si>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</si>
  <si>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</si>
  <si>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</si>
  <si>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</si>
  <si>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</si>
  <si>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</si>
  <si>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</si>
  <si>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</si>
  <si>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</si>
  <si>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</si>
  <si>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</si>
  <si>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</si>
  <si>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</si>
  <si>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</si>
  <si>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</si>
  <si>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</si>
  <si>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</si>
  <si>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</si>
  <si>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</si>
  <si>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</si>
  <si>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</si>
  <si>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</si>
  <si>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</si>
  <si>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</si>
  <si>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</si>
  <si>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</si>
  <si>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</si>
  <si>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</si>
  <si>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</si>
  <si>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</si>
  <si>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</si>
  <si>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</si>
  <si>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</si>
  <si>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</si>
  <si>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</si>
  <si>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</si>
  <si>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</si>
  <si>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</si>
  <si>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</si>
  <si>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</si>
  <si>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</si>
  <si>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</si>
  <si>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</si>
  <si>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</si>
  <si>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</si>
  <si>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</si>
  <si>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</si>
  <si>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</si>
  <si>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</si>
  <si>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</si>
  <si>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</si>
  <si>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</si>
  <si>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</si>
  <si>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</si>
  <si>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</si>
  <si>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</si>
  <si>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</si>
  <si>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</si>
  <si>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</si>
  <si>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</si>
  <si>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</si>
  <si>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</si>
  <si>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</si>
  <si>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</si>
  <si>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</si>
  <si>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</si>
  <si>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</si>
  <si>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</si>
  <si>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</si>
  <si>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</si>
  <si>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</si>
  <si>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</si>
  <si>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</si>
  <si>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</si>
  <si>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</si>
  <si>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</si>
  <si>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</si>
  <si>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</si>
  <si>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</si>
  <si>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</si>
  <si>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</si>
  <si>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</si>
  <si>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</si>
  <si>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</si>
  <si>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</si>
  <si>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</si>
  <si>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</si>
  <si>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</si>
  <si>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</si>
  <si>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</si>
  <si>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</si>
  <si>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</si>
  <si>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</si>
  <si>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</si>
  <si>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</si>
  <si>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</si>
  <si>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</si>
  <si>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</si>
  <si>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</si>
  <si>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</si>
  <si>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</si>
  <si>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</si>
  <si>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</si>
  <si>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</si>
  <si>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</si>
  <si>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</si>
  <si>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</si>
  <si>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</si>
  <si>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</si>
  <si>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</si>
  <si>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</si>
  <si>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</si>
  <si>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</si>
  <si>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</si>
  <si>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</si>
  <si>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</si>
  <si>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</si>
  <si>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</si>
  <si>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</si>
  <si>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</si>
  <si>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</si>
  <si>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</si>
  <si>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</si>
  <si>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</si>
  <si>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</si>
  <si>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</si>
  <si>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</si>
  <si>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</si>
  <si>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</si>
  <si>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</si>
  <si>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</si>
  <si>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</si>
  <si>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</si>
  <si>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</si>
  <si>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</si>
  <si>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</si>
  <si>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</si>
  <si>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</si>
  <si>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</si>
  <si>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</si>
  <si>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</si>
  <si>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</si>
  <si>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</si>
  <si>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</si>
  <si>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</si>
  <si>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</si>
  <si>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</si>
  <si>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</si>
  <si>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</si>
  <si>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</si>
  <si>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</si>
  <si>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</si>
  <si>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</si>
  <si>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</si>
  <si>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</si>
  <si>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</si>
  <si>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</si>
  <si>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</si>
  <si>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</si>
  <si>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</si>
  <si>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</si>
  <si>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</si>
  <si>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</si>
  <si>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</si>
  <si>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</si>
  <si>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</si>
  <si>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</si>
  <si>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</si>
  <si>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</si>
  <si>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</si>
  <si>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</si>
  <si>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</si>
  <si>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</si>
  <si>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</si>
  <si>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</si>
  <si>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</si>
  <si>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</si>
  <si>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</si>
  <si>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</si>
  <si>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</si>
  <si>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</si>
  <si>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</si>
  <si>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</si>
  <si>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</si>
  <si>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</si>
  <si>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</si>
  <si>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</si>
  <si>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</si>
  <si>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</si>
  <si>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</si>
  <si>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</si>
  <si>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</si>
  <si>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</si>
  <si>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</si>
  <si>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</si>
  <si>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</si>
  <si>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</si>
  <si>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</si>
  <si>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</si>
  <si>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</si>
  <si>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</si>
  <si>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</si>
  <si>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</si>
  <si>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</si>
  <si>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</si>
  <si>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</si>
  <si>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</si>
  <si>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</si>
  <si>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</si>
  <si>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</si>
  <si>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</si>
  <si>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</si>
  <si>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</si>
  <si>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</si>
  <si>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</si>
  <si>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</si>
  <si>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</si>
  <si>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</si>
  <si>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</si>
  <si>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</si>
  <si>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</si>
  <si>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</si>
  <si>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</si>
  <si>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</si>
  <si>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</si>
  <si>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</si>
  <si>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</si>
  <si>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</si>
  <si>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</si>
  <si>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</si>
  <si>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</si>
  <si>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</si>
  <si>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</si>
  <si>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</si>
  <si>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</si>
  <si>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</si>
  <si>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</si>
  <si>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</si>
  <si>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</si>
  <si>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</si>
  <si>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</si>
  <si>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</si>
  <si>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</si>
  <si>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</si>
  <si>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</si>
  <si>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</si>
  <si>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</si>
  <si>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</si>
  <si>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</si>
  <si>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</si>
  <si>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</si>
  <si>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</si>
  <si>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</si>
  <si>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</si>
  <si>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</si>
  <si>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</si>
  <si>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</si>
  <si>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</si>
  <si>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</si>
  <si>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</si>
  <si>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</si>
  <si>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</si>
  <si>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</si>
  <si>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</si>
  <si>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</si>
  <si>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</si>
  <si>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</si>
  <si>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</si>
  <si>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</si>
  <si>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</si>
  <si>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</si>
  <si>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</si>
  <si>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</si>
  <si>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</si>
  <si>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</si>
  <si>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</si>
  <si>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</si>
  <si>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</si>
  <si>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</si>
  <si>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</si>
  <si>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</si>
  <si>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</si>
  <si>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</si>
  <si>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</si>
  <si>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</si>
  <si>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</si>
  <si>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</si>
  <si>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</si>
  <si>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</si>
  <si>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</si>
  <si>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</si>
  <si>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</si>
  <si>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</si>
  <si>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</si>
  <si>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</si>
  <si>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</si>
  <si>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</si>
  <si>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</si>
  <si>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</si>
  <si>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</si>
  <si>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</si>
  <si>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</si>
  <si>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</si>
  <si>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</si>
  <si>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</si>
  <si>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</si>
  <si>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</si>
  <si>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</si>
  <si>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</si>
  <si>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</si>
  <si>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</si>
  <si>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</si>
  <si>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</si>
  <si>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</si>
  <si>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</si>
  <si>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</si>
  <si>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</si>
  <si>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</si>
  <si>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</si>
  <si>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</si>
  <si>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</si>
  <si>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</si>
  <si>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</si>
  <si>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</si>
  <si>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</si>
  <si>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</si>
  <si>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</si>
  <si>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</si>
  <si>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</si>
  <si>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</si>
  <si>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</si>
  <si>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</si>
  <si>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</si>
  <si>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</si>
  <si>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</si>
  <si>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</si>
  <si>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</si>
  <si>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</si>
  <si>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</si>
  <si>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</si>
  <si>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</si>
  <si>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</si>
  <si>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</si>
  <si>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</si>
  <si>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</si>
  <si>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</si>
  <si>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</si>
  <si>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</si>
  <si>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</si>
  <si>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</si>
  <si>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</si>
  <si>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</si>
  <si>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</si>
  <si>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</si>
  <si>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</si>
  <si>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</si>
  <si>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</si>
  <si>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</si>
  <si>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</si>
  <si>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</si>
  <si>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</si>
  <si>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</si>
  <si>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</si>
  <si>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</si>
  <si>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</si>
  <si>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</si>
  <si>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</si>
  <si>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</si>
  <si>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</si>
  <si>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</si>
  <si>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</si>
  <si>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</si>
  <si>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</si>
  <si>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</si>
  <si>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</si>
  <si>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</si>
  <si>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</si>
  <si>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</si>
  <si>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</si>
  <si>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</si>
  <si>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</si>
  <si>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</si>
  <si>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</si>
  <si>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</si>
  <si>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</si>
  <si>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</si>
  <si>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</si>
  <si>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</si>
  <si>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</si>
  <si>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</si>
  <si>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</si>
  <si>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</si>
  <si>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</si>
  <si>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</si>
  <si>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</si>
  <si>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</si>
  <si>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</si>
  <si>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</si>
  <si>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</si>
  <si>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</si>
  <si>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</si>
  <si>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</si>
  <si>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</si>
  <si>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</si>
  <si>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</si>
  <si>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</si>
  <si>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</si>
  <si>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</si>
  <si>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</si>
  <si>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</si>
  <si>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</si>
  <si>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</si>
  <si>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</si>
  <si>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</si>
  <si>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</si>
  <si>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</si>
  <si>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</si>
  <si>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</si>
  <si>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</si>
  <si>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</si>
  <si>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</si>
  <si>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</si>
  <si>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</si>
  <si>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</si>
  <si>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</si>
  <si>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</si>
  <si>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</si>
  <si>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</si>
  <si>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</si>
  <si>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</si>
  <si>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</si>
  <si>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</si>
  <si>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</si>
  <si>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</si>
  <si>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</si>
  <si>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</si>
  <si>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</si>
  <si>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</si>
  <si>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</si>
  <si>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</si>
  <si>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</si>
  <si>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</si>
  <si>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</si>
  <si>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</si>
  <si>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</si>
  <si>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</si>
  <si>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</si>
  <si>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</si>
  <si>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</si>
  <si>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</si>
  <si>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</si>
  <si>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</si>
  <si>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</si>
  <si>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</si>
  <si>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</si>
  <si>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</si>
  <si>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</si>
  <si>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</si>
  <si>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</si>
  <si>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</si>
  <si>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</si>
  <si>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</si>
  <si>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</si>
  <si>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</si>
  <si>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</si>
  <si>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</si>
  <si>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</si>
  <si>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</si>
  <si>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</si>
  <si>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</si>
  <si>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</si>
  <si>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</si>
  <si>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</si>
  <si>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</si>
  <si>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</si>
  <si>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</si>
  <si>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</si>
  <si>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</si>
  <si>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</si>
  <si>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</si>
  <si>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</si>
  <si>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</si>
  <si>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</si>
  <si>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</si>
  <si>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</si>
  <si>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</si>
  <si>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</si>
  <si>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</si>
  <si>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</si>
  <si>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</si>
  <si>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</si>
  <si>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</si>
  <si>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</si>
  <si>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</si>
  <si>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</si>
  <si>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</si>
  <si>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</si>
  <si>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</si>
  <si>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</si>
  <si>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</si>
  <si>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</si>
  <si>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</si>
  <si>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</si>
  <si>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</si>
  <si>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</si>
  <si>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</si>
  <si>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</si>
  <si>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</si>
  <si>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</si>
  <si>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</si>
  <si>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</si>
  <si>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</si>
  <si>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</si>
  <si>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</si>
  <si>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</si>
  <si>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</si>
  <si>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</si>
  <si>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</si>
  <si>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</si>
  <si>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</si>
  <si>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</si>
  <si>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</si>
  <si>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</si>
  <si>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</si>
  <si>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</si>
  <si>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</si>
  <si>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</si>
  <si>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</si>
  <si>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</si>
  <si>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</si>
  <si>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</si>
  <si>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</si>
  <si>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</si>
  <si>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</si>
  <si>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</si>
  <si>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</si>
  <si>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</si>
  <si>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</si>
  <si>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</si>
  <si>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</si>
  <si>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</si>
  <si>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</si>
  <si>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</si>
  <si>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</si>
  <si>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</si>
  <si>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</si>
  <si>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</si>
  <si>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</si>
  <si>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</si>
  <si>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</si>
  <si>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</si>
  <si>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</si>
  <si>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</si>
  <si>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</si>
  <si>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</si>
  <si>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</si>
  <si>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</si>
  <si>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</si>
  <si>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</si>
  <si>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</si>
  <si>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</si>
  <si>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</si>
  <si>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</si>
  <si>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</si>
  <si>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</si>
  <si>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</si>
  <si>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</si>
  <si>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</si>
  <si>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</si>
  <si>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</si>
  <si>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</si>
  <si>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</si>
  <si>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</si>
  <si>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</si>
  <si>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</si>
  <si>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</si>
  <si>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</si>
  <si>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</si>
  <si>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</si>
  <si>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</si>
  <si>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</si>
  <si>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</si>
  <si>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</si>
  <si>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</si>
  <si>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</si>
  <si>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</si>
  <si>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</si>
  <si>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</si>
  <si>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</si>
  <si>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</si>
  <si>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</si>
  <si>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</si>
  <si>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</si>
  <si>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</si>
  <si>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</si>
  <si>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</si>
  <si>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</si>
  <si>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</si>
  <si>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</si>
  <si>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</si>
  <si>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</si>
  <si>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</si>
  <si>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</si>
  <si>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</si>
  <si>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</si>
  <si>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</si>
  <si>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</si>
  <si>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</si>
  <si>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</si>
  <si>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</si>
  <si>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</si>
  <si>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</si>
  <si>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</si>
  <si>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</si>
  <si>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</si>
  <si>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</si>
  <si>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</si>
  <si>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</si>
  <si>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</si>
  <si>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</si>
  <si>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</si>
  <si>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</si>
  <si>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</si>
  <si>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</si>
  <si>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</si>
  <si>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</si>
  <si>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</si>
  <si>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</si>
  <si>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</si>
  <si>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</si>
  <si>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</si>
  <si>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</si>
  <si>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</si>
  <si>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</si>
  <si>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</si>
  <si>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</si>
  <si>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</si>
  <si>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</si>
  <si>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</si>
  <si>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</si>
  <si>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</si>
  <si>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</si>
  <si>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</si>
  <si>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</si>
  <si>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</si>
  <si>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</si>
  <si>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</si>
  <si>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</si>
  <si>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</si>
  <si>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</si>
  <si>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</si>
  <si>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</si>
  <si>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</si>
  <si>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</si>
  <si>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</si>
  <si>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</si>
  <si>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</si>
  <si>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</si>
  <si>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</si>
  <si>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</si>
  <si>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</si>
  <si>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</si>
  <si>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</si>
  <si>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</si>
  <si>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</si>
  <si>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</si>
  <si>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</si>
  <si>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</si>
  <si>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</si>
  <si>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</si>
  <si>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</si>
  <si>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</si>
  <si>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</si>
  <si>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</si>
  <si>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</si>
  <si>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</si>
  <si>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</si>
  <si>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</si>
  <si>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</si>
  <si>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</si>
  <si>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</si>
  <si>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</si>
  <si>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</si>
  <si>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</si>
  <si>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</si>
  <si>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</si>
  <si>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</si>
  <si>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</si>
  <si>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</si>
  <si>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</si>
  <si>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</si>
  <si>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</si>
  <si>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</si>
  <si>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</si>
  <si>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</si>
  <si>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</si>
  <si>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</si>
  <si>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</si>
  <si>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</si>
  <si>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</si>
  <si>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</si>
  <si>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</si>
  <si>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</si>
  <si>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</si>
  <si>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</si>
  <si>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</si>
  <si>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</si>
  <si>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</si>
  <si>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</si>
  <si>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</si>
  <si>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</si>
  <si>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</si>
  <si>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</si>
  <si>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</si>
  <si>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</si>
  <si>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</si>
  <si>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</si>
  <si>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</si>
  <si>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</si>
  <si>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</si>
  <si>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</si>
  <si>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</si>
  <si>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</si>
  <si>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</si>
  <si>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</si>
  <si>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</si>
  <si>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</si>
  <si>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</si>
  <si>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</si>
  <si>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</si>
  <si>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</si>
  <si>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</si>
  <si>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</si>
  <si>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</si>
  <si>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</si>
  <si>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</si>
  <si>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</si>
  <si>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</si>
  <si>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</si>
  <si>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</si>
  <si>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</si>
  <si>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</si>
  <si>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</si>
  <si>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</si>
  <si>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</si>
  <si>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</si>
  <si>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</si>
  <si>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</si>
  <si>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</si>
  <si>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</si>
  <si>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</si>
  <si>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</si>
  <si>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</si>
  <si>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</si>
  <si>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</si>
  <si>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</si>
  <si>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</si>
  <si>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</si>
  <si>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</si>
  <si>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</si>
  <si>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</si>
  <si>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</si>
  <si>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</si>
  <si>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</si>
  <si>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</si>
  <si>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</si>
  <si>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</si>
  <si>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</si>
  <si>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</si>
  <si>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</si>
  <si>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</si>
  <si>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</si>
  <si>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</si>
  <si>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</si>
  <si>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</si>
  <si>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</si>
  <si>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</si>
  <si>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</si>
  <si>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</si>
  <si>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</si>
  <si>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</si>
  <si>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</si>
  <si>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</si>
  <si>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</si>
  <si>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</si>
  <si>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</si>
  <si>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</si>
  <si>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</si>
  <si>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</si>
  <si>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</si>
  <si>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</si>
  <si>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</si>
  <si>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</si>
  <si>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</si>
  <si>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</si>
  <si>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</si>
  <si>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</si>
  <si>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</si>
  <si>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</si>
  <si>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</si>
  <si>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</si>
  <si>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</si>
  <si>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</si>
  <si>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</si>
  <si>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</si>
  <si>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</si>
  <si>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</si>
  <si>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</si>
  <si>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</si>
  <si>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</si>
  <si>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</si>
  <si>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</si>
  <si>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</si>
  <si>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</si>
  <si>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</si>
  <si>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</si>
  <si>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</si>
  <si>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</si>
  <si>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</si>
  <si>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</si>
  <si>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</si>
  <si>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</si>
  <si>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</si>
  <si>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</si>
  <si>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</si>
  <si>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</si>
  <si>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</si>
  <si>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</si>
  <si>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</si>
  <si>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</si>
  <si>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</si>
  <si>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</si>
  <si>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</si>
  <si>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</si>
  <si>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</si>
  <si>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</si>
  <si>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</si>
  <si>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</si>
  <si>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</si>
  <si>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</si>
  <si>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</si>
  <si>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</si>
  <si>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</si>
  <si>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</si>
  <si>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</si>
  <si>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</si>
  <si>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</si>
  <si>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</si>
  <si>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</si>
  <si>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</si>
  <si>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</si>
  <si>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</si>
  <si>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</si>
  <si>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</si>
  <si>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</si>
  <si>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</si>
  <si>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</si>
  <si>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</si>
  <si>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</si>
  <si>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</si>
  <si>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</si>
  <si>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</si>
  <si>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</si>
  <si>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</si>
  <si>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</si>
  <si>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</si>
  <si>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</si>
  <si>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</si>
  <si>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</si>
  <si>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</si>
  <si>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</si>
  <si>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</si>
  <si>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</si>
  <si>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</si>
  <si>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</si>
  <si>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</si>
  <si>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</si>
  <si>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</si>
  <si>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</si>
  <si>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</si>
  <si>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</si>
  <si>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</si>
  <si>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</si>
  <si>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</si>
  <si>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</si>
  <si>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</si>
  <si>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</si>
  <si>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</si>
  <si>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</si>
  <si>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</si>
  <si>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</si>
  <si>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</si>
  <si>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</si>
  <si>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</si>
  <si>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</si>
  <si>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</si>
  <si>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</si>
  <si>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</si>
  <si>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</si>
  <si>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</si>
  <si>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</si>
  <si>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</si>
  <si>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</si>
  <si>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</si>
  <si>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</si>
  <si>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</si>
  <si>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</si>
  <si>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</si>
  <si>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</si>
  <si>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</si>
  <si>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</si>
  <si>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</si>
  <si>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</si>
  <si>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</si>
  <si>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</si>
  <si>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</si>
  <si>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</si>
  <si>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</si>
  <si>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</si>
  <si>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</si>
  <si>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</si>
  <si>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</si>
  <si>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</si>
  <si>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</si>
  <si>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</si>
  <si>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</si>
  <si>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</si>
  <si>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</si>
  <si>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</si>
  <si>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</si>
  <si>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</si>
  <si>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</si>
  <si>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</si>
  <si>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</si>
  <si>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</si>
  <si>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</si>
  <si>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</si>
  <si>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</si>
  <si>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</si>
  <si>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</si>
  <si>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</si>
  <si>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</si>
  <si>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</si>
  <si>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</si>
  <si>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</si>
  <si>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</si>
  <si>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</si>
  <si>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</si>
  <si>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</si>
  <si>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</si>
  <si>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</si>
  <si>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</si>
  <si>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</si>
  <si>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</si>
  <si>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</si>
  <si>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</si>
  <si>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</si>
  <si>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</si>
  <si>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</si>
  <si>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</si>
  <si>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</si>
  <si>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</si>
  <si>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</si>
  <si>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</si>
  <si>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</si>
  <si>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</si>
  <si>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</si>
  <si>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</si>
  <si>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</si>
  <si>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</si>
  <si>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</si>
  <si>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</si>
  <si>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</si>
  <si>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</si>
  <si>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</si>
  <si>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</si>
  <si>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</si>
  <si>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</si>
  <si>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</si>
  <si>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</si>
  <si>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</si>
  <si>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</si>
  <si>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</si>
  <si>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</si>
  <si>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</si>
  <si>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</si>
  <si>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</si>
  <si>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</si>
  <si>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</si>
  <si>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</si>
  <si>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</si>
  <si>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</si>
  <si>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</si>
  <si>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</si>
  <si>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</si>
  <si>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</si>
  <si>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</si>
  <si>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</si>
  <si>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</si>
  <si>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</si>
  <si>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</si>
  <si>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</si>
  <si>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</si>
  <si>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</si>
  <si>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</si>
  <si>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</si>
  <si>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</si>
  <si>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</si>
  <si>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</si>
  <si>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</si>
  <si>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</si>
  <si>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</si>
  <si>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</si>
  <si>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</si>
  <si>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</si>
  <si>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</si>
  <si>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</si>
  <si>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</si>
  <si>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</si>
  <si>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</si>
  <si>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</si>
  <si>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</si>
  <si>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</si>
  <si>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</si>
  <si>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</si>
  <si>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</si>
  <si>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</si>
  <si>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</si>
  <si>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</si>
  <si>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</si>
  <si>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</si>
  <si>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</si>
  <si>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</si>
  <si>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</si>
  <si>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</si>
  <si>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</si>
  <si>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</si>
  <si>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</si>
  <si>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</si>
  <si>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</si>
  <si>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</si>
  <si>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</si>
  <si>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</si>
  <si>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</si>
  <si>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</si>
  <si>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</si>
  <si>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</si>
  <si>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</si>
  <si>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</si>
  <si>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</si>
  <si>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</si>
  <si>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</si>
  <si>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</si>
  <si>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</si>
  <si>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</si>
  <si>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</si>
  <si>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</si>
  <si>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</si>
  <si>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</si>
  <si>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</si>
  <si>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</si>
  <si>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</si>
  <si>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</si>
  <si>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</si>
  <si>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</si>
  <si>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</si>
  <si>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</si>
  <si>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</si>
  <si>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</si>
  <si>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</si>
  <si>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</si>
  <si>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</si>
  <si>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</si>
  <si>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</si>
  <si>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</si>
  <si>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</si>
  <si>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</si>
  <si>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</si>
  <si>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</si>
  <si>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</si>
  <si>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</si>
  <si>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</si>
  <si>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</si>
  <si>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</si>
  <si>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</si>
  <si>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</si>
  <si>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</si>
  <si>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</si>
  <si>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</si>
  <si>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</si>
  <si>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</si>
  <si>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</si>
  <si>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</si>
  <si>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</si>
  <si>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</si>
  <si>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</si>
  <si>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</si>
  <si>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</si>
  <si>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</si>
  <si>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</si>
  <si>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</si>
  <si>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</si>
  <si>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</si>
  <si>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</si>
  <si>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</si>
  <si>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</si>
  <si>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</si>
  <si>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</si>
  <si>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</si>
  <si>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</si>
  <si>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</si>
  <si>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</si>
  <si>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</si>
  <si>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</si>
  <si>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</si>
  <si>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</si>
  <si>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</si>
  <si>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</si>
  <si>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</si>
  <si>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</si>
  <si>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</si>
  <si>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</si>
  <si>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</si>
  <si>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</si>
  <si>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</si>
  <si>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</si>
  <si>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</si>
  <si>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</si>
  <si>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</si>
  <si>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</si>
  <si>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</si>
  <si>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</si>
  <si>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</si>
  <si>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</si>
  <si>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</si>
  <si>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</si>
  <si>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</si>
  <si>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</si>
  <si>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</si>
  <si>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</si>
  <si>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</si>
  <si>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Australia</t>
  </si>
  <si>
    <t>Canada</t>
  </si>
  <si>
    <t>France</t>
  </si>
  <si>
    <t>Germany</t>
  </si>
  <si>
    <t>United Kingdom</t>
  </si>
  <si>
    <t>United States</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</si>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</sst>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4">
    <dxf>
      <numFmt numFmtId="169" formatCode="[&lt;1000000]#,##0,&quot;K&quot;;#,##0.00,,&quot;M&quot;"/>
    </dxf>
    <dxf>
      <numFmt numFmtId="3" formatCode="#,##0"/>
    </dxf>
    <dxf>
      <numFmt numFmtId="169" formatCode="[&lt;1000000]#,##0,&quot;K&quot;;#,##0.00,,&quot;M&quot;"/>
    </dxf>
    <dxf>
      <numFmt numFmtId="164" formatCode="&quot;$ &quot;0.0,,\ &quot;M&quot;"/>
    </dxf>
    <dxf>
      <numFmt numFmtId="3" formatCode="#,##0"/>
    </dxf>
    <dxf>
      <numFmt numFmtId="169" formatCode="[&lt;1000000]#,##0,&quot;K&quot;;#,##0.00,,&quot;M&quot;"/>
    </dxf>
    <dxf>
      <numFmt numFmtId="169" formatCode="[&lt;1000000]#,##0,&quot;K&quot;;#,##0.00,,&quot;M&quot;"/>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3"/>
      <tableStyleElement type="headerRow" dxfId="42"/>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2419050.9197000009</c:v>
                </c:pt>
                <c:pt idx="1">
                  <c:v>2901924.9990000054</c:v>
                </c:pt>
                <c:pt idx="2">
                  <c:v>16899714.97670003</c:v>
                </c:pt>
                <c:pt idx="3">
                  <c:v>16514500.687100008</c:v>
                </c:pt>
                <c:pt idx="4">
                  <c:v>14660707.284999985</c:v>
                </c:pt>
                <c:pt idx="5">
                  <c:v>15861571.400899978</c:v>
                </c:pt>
                <c:pt idx="6">
                  <c:v>57033107.377601005</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57033107.377601005</c:v>
                </c:pt>
              </c:numCache>
            </c:numRef>
          </c:val>
          <c:extLst>
            <c:ext xmlns:c16="http://schemas.microsoft.com/office/drawing/2014/chart" uri="{C3380CC4-5D6E-409C-BE32-E72D297353CC}">
              <c16:uniqueId val="{00000001-C7B7-4A7B-B055-09B4AD655858}"/>
            </c:ext>
          </c:extLst>
        </c:ser>
        <c:dLbls>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'!$AC$2</c:f>
              <c:strCache>
                <c:ptCount val="1"/>
                <c:pt idx="0">
                  <c:v>Country</c:v>
                </c:pt>
              </c:strCache>
            </c:strRef>
          </c:tx>
          <c:spPr>
            <a:solidFill>
              <a:schemeClr val="accent1"/>
            </a:solidFill>
            <a:ln w="25400">
              <a:noFill/>
            </a:ln>
            <a:effectLst/>
          </c:spPr>
          <c:invertIfNegative val="0"/>
          <c:dLbls>
            <c:dLbl>
              <c:idx val="0"/>
              <c:tx>
                <c:rich>
                  <a:bodyPr/>
                  <a:lstStyle/>
                  <a:p>
                    <a:fld id="{FD62A731-A03D-4D5B-A061-FEC1D9C9BB7A}"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7091-47D3-9FAD-4CD14BFC81E9}"/>
                </c:ext>
              </c:extLst>
            </c:dLbl>
            <c:dLbl>
              <c:idx val="1"/>
              <c:tx>
                <c:rich>
                  <a:bodyPr/>
                  <a:lstStyle/>
                  <a:p>
                    <a:fld id="{79385987-08E3-48C0-AD1A-E4F31FF0E1B6}"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091-47D3-9FAD-4CD14BFC81E9}"/>
                </c:ext>
              </c:extLst>
            </c:dLbl>
            <c:dLbl>
              <c:idx val="2"/>
              <c:tx>
                <c:rich>
                  <a:bodyPr/>
                  <a:lstStyle/>
                  <a:p>
                    <a:fld id="{C572DEBB-32D5-4957-9948-539F7F906AE4}"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091-47D3-9FAD-4CD14BFC81E9}"/>
                </c:ext>
              </c:extLst>
            </c:dLbl>
            <c:dLbl>
              <c:idx val="3"/>
              <c:tx>
                <c:rich>
                  <a:bodyPr/>
                  <a:lstStyle/>
                  <a:p>
                    <a:fld id="{95E2E1E6-FC07-43CC-88D4-698694F3E2A6}"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091-47D3-9FAD-4CD14BFC81E9}"/>
                </c:ext>
              </c:extLst>
            </c:dLbl>
            <c:dLbl>
              <c:idx val="4"/>
              <c:tx>
                <c:rich>
                  <a:bodyPr/>
                  <a:lstStyle/>
                  <a:p>
                    <a:fld id="{CD464AE0-49A5-41F0-9559-52E86E6AB19D}"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091-47D3-9FAD-4CD14BFC81E9}"/>
                </c:ext>
              </c:extLst>
            </c:dLbl>
            <c:dLbl>
              <c:idx val="5"/>
              <c:tx>
                <c:rich>
                  <a:bodyPr/>
                  <a:lstStyle/>
                  <a:p>
                    <a:fld id="{887AD088-E9CF-4588-ABE1-39B7ACC8C264}"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091-47D3-9FAD-4CD14BFC81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bubbleSize>
            <c:numRef>
              <c:f>'Customer Analysis '!$Y$3:$Y$8</c:f>
              <c:numCache>
                <c:formatCode>[&lt;1000000]#,##0,"K";#,##0.00,,"M"</c:formatCode>
                <c:ptCount val="6"/>
                <c:pt idx="0">
                  <c:v>126290577.64600056</c:v>
                </c:pt>
                <c:pt idx="1">
                  <c:v>126290577.64600056</c:v>
                </c:pt>
                <c:pt idx="2">
                  <c:v>126290577.64600056</c:v>
                </c:pt>
                <c:pt idx="3">
                  <c:v>126290577.64600056</c:v>
                </c:pt>
                <c:pt idx="4">
                  <c:v>126290577.64600056</c:v>
                </c:pt>
                <c:pt idx="5">
                  <c:v>126290577.64600056</c:v>
                </c:pt>
              </c:numCache>
            </c:numRef>
          </c:bubbleSize>
          <c:bubble3D val="0"/>
          <c:extLst>
            <c:ext xmlns:c15="http://schemas.microsoft.com/office/drawing/2012/chart" uri="{02D57815-91ED-43cb-92C2-25804820EDAC}">
              <c15:datalabelsRange>
                <c15:f>'Customer Analysis '!$Y$3:$Y$8</c15:f>
                <c15:dlblRangeCache>
                  <c:ptCount val="6"/>
                  <c:pt idx="0">
                    <c:v>126.29M</c:v>
                  </c:pt>
                  <c:pt idx="1">
                    <c:v>126.29M</c:v>
                  </c:pt>
                  <c:pt idx="2">
                    <c:v>126.29M</c:v>
                  </c:pt>
                  <c:pt idx="3">
                    <c:v>126.29M</c:v>
                  </c:pt>
                  <c:pt idx="4">
                    <c:v>126.29M</c:v>
                  </c:pt>
                  <c:pt idx="5">
                    <c:v>126.29M</c:v>
                  </c:pt>
                </c15:dlblRangeCache>
              </c15:datalabelsRange>
            </c:ext>
            <c:ext xmlns:c16="http://schemas.microsoft.com/office/drawing/2014/chart" uri="{C3380CC4-5D6E-409C-BE32-E72D297353CC}">
              <c16:uniqueId val="{00000000-E5EA-44BF-8495-93D111448D73}"/>
            </c:ext>
          </c:extLst>
        </c:ser>
        <c:dLbls>
          <c:dLblPos val="ctr"/>
          <c:showLegendKey val="0"/>
          <c:showVal val="1"/>
          <c:showCatName val="0"/>
          <c:showSerName val="0"/>
          <c:showPercent val="0"/>
          <c:showBubbleSize val="0"/>
        </c:dLbls>
        <c:bubbleScale val="100"/>
        <c:showNegBubbles val="0"/>
        <c:axId val="494870944"/>
        <c:axId val="494877176"/>
      </c:bubbleChart>
      <c:valAx>
        <c:axId val="494870944"/>
        <c:scaling>
          <c:orientation val="minMax"/>
          <c:max val="10"/>
          <c:min val="0"/>
        </c:scaling>
        <c:delete val="1"/>
        <c:axPos val="b"/>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In2005</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49.6%</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00000000-0008-0000-08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00000000-0008-0000-0800-00004D000000}"/>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p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00000000-0008-0000-0800-00004E000000}"/>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45.2%</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00000000-0008-0000-0800-00004F000000}"/>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521759</xdr:colOff>
      <xdr:row>24</xdr:row>
      <xdr:rowOff>110067</xdr:rowOff>
    </xdr:from>
    <xdr:to>
      <xdr:col>14</xdr:col>
      <xdr:colOff>361951</xdr:colOff>
      <xdr:row>29</xdr:row>
      <xdr:rowOff>104775</xdr:rowOff>
    </xdr:to>
    <xdr:sp macro="" textlink="">
      <xdr:nvSpPr>
        <xdr:cNvPr id="80" name="Rectangle: Rounded Corners 79">
          <a:extLst>
            <a:ext uri="{FF2B5EF4-FFF2-40B4-BE49-F238E27FC236}">
              <a16:creationId xmlns:a16="http://schemas.microsoft.com/office/drawing/2014/main" id="{00000000-0008-0000-0800-000050000000}"/>
            </a:ext>
          </a:extLst>
        </xdr:cNvPr>
        <xdr:cNvSpPr/>
      </xdr:nvSpPr>
      <xdr:spPr>
        <a:xfrm>
          <a:off x="5398559"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28575</xdr:colOff>
      <xdr:row>25</xdr:row>
      <xdr:rowOff>76200</xdr:rowOff>
    </xdr:from>
    <xdr:to>
      <xdr:col>14</xdr:col>
      <xdr:colOff>85725</xdr:colOff>
      <xdr:row>29</xdr:row>
      <xdr:rowOff>85725</xdr:rowOff>
    </xdr:to>
    <mc:AlternateContent xmlns:mc="http://schemas.openxmlformats.org/markup-compatibility/2006" xmlns:a14="http://schemas.microsoft.com/office/drawing/2010/main">
      <mc:Choice Requires="a14">
        <xdr:graphicFrame macro="">
          <xdr:nvGraphicFramePr>
            <xdr:cNvPr id="81" name="Year 1">
              <a:extLst>
                <a:ext uri="{FF2B5EF4-FFF2-40B4-BE49-F238E27FC236}">
                  <a16:creationId xmlns:a16="http://schemas.microsoft.com/office/drawing/2014/main" id="{00000000-0008-0000-0800-000051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5514975" y="4838700"/>
              <a:ext cx="3105150" cy="7715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00000000-0008-0000-0800-000052000000}"/>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00000000-0008-0000-0800-000053000000}"/>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22</xdr:col>
      <xdr:colOff>552450</xdr:colOff>
      <xdr:row>9</xdr:row>
      <xdr:rowOff>166687</xdr:rowOff>
    </xdr:from>
    <xdr:to>
      <xdr:col>29</xdr:col>
      <xdr:colOff>133350</xdr:colOff>
      <xdr:row>24</xdr:row>
      <xdr:rowOff>52387</xdr:rowOff>
    </xdr:to>
    <xdr:graphicFrame macro="">
      <xdr:nvGraphicFramePr>
        <xdr:cNvPr id="4" name="Chart 3">
          <a:extLst>
            <a:ext uri="{FF2B5EF4-FFF2-40B4-BE49-F238E27FC236}">
              <a16:creationId xmlns:a16="http://schemas.microsoft.com/office/drawing/2014/main" id="{00000000-0008-0000-0A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895949072"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897685189"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899189813"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48" level="32767"/>
    <cacheField name="[DimDate].[Month Name].[Month Name]" caption="Month Name" numFmtId="0" hierarchy="12" level="1">
      <sharedItems count="12">
        <s v="Jan"/>
        <s v="Feb"/>
        <s v="Mar"/>
        <s v="Apr"/>
        <s v="May"/>
        <s v="Jun"/>
        <s v="Jul"/>
        <s v="Aug"/>
        <s v="Sep"/>
        <s v="Oct"/>
        <s v="Nov"/>
        <s v="Dec"/>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0578706"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 Profit Margin]" caption="% Profit Margin" numFmtId="0" hierarchy="49"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208333"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3703701"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 Profit Margin]" caption="% Profit Margin" numFmtId="0" hierarchy="49"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8"/>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5324071"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6597225"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7986111"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09606481"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13310184"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15740739"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ummy0" numFmtId="0" hierarchy="71" level="32767">
      <extLst>
        <ext xmlns:x14="http://schemas.microsoft.com/office/spreadsheetml/2009/9/main" uri="{63CAB8AC-B538-458d-9737-405883B0398D}">
          <x14:cacheField ignore="1"/>
        </ext>
      </extLst>
    </cacheField>
  </cacheFields>
  <cacheHierarchies count="7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17245371" backgroundQuery="1" createdVersion="6" refreshedVersion="6" minRefreshableVersion="3" recordCount="0" supportSubquery="1" supportAdvancedDrill="1" xr:uid="{1EE6A0A3-FDB4-46BE-B8D9-64AFBCE79B1C}">
  <cacheSource type="external" connectionId="8"/>
  <cacheFields count="4">
    <cacheField name="[Measures].[#Customers]" caption="#Customers" numFmtId="0" hierarchy="55" level="32767"/>
    <cacheField name="[Measures].[Average Customer Age]" caption="Average Customer Age" numFmtId="0" hierarchy="56"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18634257" backgroundQuery="1" createdVersion="6" refreshedVersion="6" minRefreshableVersion="3" recordCount="0" supportSubquery="1" supportAdvancedDrill="1" xr:uid="{5AAB1E2C-216D-46A0-9B95-14B932181717}">
  <cacheSource type="external" connectionId="8"/>
  <cacheFields count="4">
    <cacheField name="[Measures].[Total Profit]" caption="Total Profit" numFmtId="0" hierarchy="48" level="32767"/>
    <cacheField name="[DimCustomer].[Gender].[Gender]" caption="Gender" numFmtId="0" hierarchy="6" level="1">
      <sharedItems count="2">
        <s v="F"/>
        <s v="M"/>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20138889" backgroundQuery="1" createdVersion="6" refreshedVersion="6" minRefreshableVersion="3" recordCount="0" supportSubquery="1" supportAdvancedDrill="1" xr:uid="{064948E7-F92F-45EE-8534-2D661DC5D1DA}">
  <cacheSource type="external" connectionId="8"/>
  <cacheFields count="4">
    <cacheField name="[Measures].[Total Profit]" caption="Total Profit" numFmtId="0" hierarchy="48" level="32767"/>
    <cacheField name="[DimCustomer].[Age group].[Age group]" caption="Age group" numFmtId="0" hierarchy="8" level="1">
      <sharedItems count="7">
        <s v="0-27"/>
        <s v="28-32"/>
        <s v="33-37"/>
        <s v="38-42"/>
        <s v="43-47"/>
        <s v="48-52"/>
        <s v="53 Plu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21527774" backgroundQuery="1" createdVersion="6" refreshedVersion="6" minRefreshableVersion="3" recordCount="0" supportSubquery="1" supportAdvancedDrill="1" xr:uid="{1205BCD2-E122-4D79-BB77-DA09F9D8B419}">
  <cacheSource type="external" connectionId="8"/>
  <cacheFields count="3">
    <cacheField name="[DimGeography].[Country].[Country]" caption="Country" numFmtId="0" hierarchy="19" level="1">
      <sharedItems count="6">
        <s v="Australia"/>
        <s v="Canada"/>
        <s v="France"/>
        <s v="Germany"/>
        <s v="United Kingdom"/>
        <s v="United States"/>
      </sharedItems>
    </cacheField>
    <cacheField name="[Measures].[Total Profit]" caption="Total Profit" numFmtId="0" hierarchy="48" level="32767"/>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0"/>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924652776"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21894444441" backgroundQuery="1" createdVersion="3" refreshedVersion="6" minRefreshableVersion="3" recordCount="0" supportSubquery="1" supportAdvancedDrill="1" xr:uid="{34F41F2C-40DD-4F50-8333-1FB9C3C05C10}">
  <cacheSource type="external" connectionId="8">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200002757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229"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24">
      <pivotArea outline="0" collapsedLevelsAreSubtotals="1" fieldPosition="0">
        <references count="1">
          <reference field="4294967294" count="1" selected="0">
            <x v="3"/>
          </reference>
        </references>
      </pivotArea>
    </format>
    <format dxfId="23">
      <pivotArea outline="0" collapsedLevelsAreSubtotals="1" fieldPosition="0">
        <references count="1">
          <reference field="4294967294" count="1" selected="0">
            <x v="4"/>
          </reference>
        </references>
      </pivotArea>
    </format>
    <format dxfId="22">
      <pivotArea outline="0" collapsedLevelsAreSubtotals="1" fieldPosition="0">
        <references count="1">
          <reference field="4294967294" count="1" selected="0">
            <x v="1"/>
          </reference>
        </references>
      </pivotArea>
    </format>
    <format dxfId="21">
      <pivotArea outline="0" collapsedLevelsAreSubtotals="1" fieldPosition="0">
        <references count="1">
          <reference field="4294967294" count="1" selected="0">
            <x v="2"/>
          </reference>
        </references>
      </pivotArea>
    </format>
    <format dxfId="20">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1220"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28">
      <pivotArea type="all" dataOnly="0" outline="0" fieldPosition="0"/>
    </format>
    <format dxfId="27">
      <pivotArea outline="0" collapsedLevelsAreSubtotals="1" fieldPosition="0"/>
    </format>
    <format dxfId="26">
      <pivotArea field="0" type="button" dataOnly="0" labelOnly="1" outline="0" axis="axisRow" fieldPosition="0"/>
    </format>
    <format dxfId="25">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1235"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33">
      <pivotArea outline="0" collapsedLevelsAreSubtotals="1" fieldPosition="0">
        <references count="1">
          <reference field="4294967294" count="1" selected="0">
            <x v="3"/>
          </reference>
        </references>
      </pivotArea>
    </format>
    <format dxfId="32">
      <pivotArea outline="0" collapsedLevelsAreSubtotals="1" fieldPosition="0">
        <references count="1">
          <reference field="4294967294" count="1" selected="0">
            <x v="4"/>
          </reference>
        </references>
      </pivotArea>
    </format>
    <format dxfId="31">
      <pivotArea outline="0" collapsedLevelsAreSubtotals="1" fieldPosition="0">
        <references count="1">
          <reference field="4294967294" count="1" selected="0">
            <x v="1"/>
          </reference>
        </references>
      </pivotArea>
    </format>
    <format dxfId="30">
      <pivotArea outline="0" collapsedLevelsAreSubtotals="1" fieldPosition="0">
        <references count="1">
          <reference field="4294967294" count="1" selected="0">
            <x v="2"/>
          </reference>
        </references>
      </pivotArea>
    </format>
    <format dxfId="29">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1232"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41">
      <pivotArea outline="0" collapsedLevelsAreSubtotals="1" fieldPosition="0">
        <references count="1">
          <reference field="4294967294" count="1" selected="0">
            <x v="0"/>
          </reference>
        </references>
      </pivotArea>
    </format>
    <format dxfId="40">
      <pivotArea outline="0" collapsedLevelsAreSubtotals="1" fieldPosition="0">
        <references count="1">
          <reference field="4294967294" count="1" selected="0">
            <x v="1"/>
          </reference>
        </references>
      </pivotArea>
    </format>
    <format dxfId="39">
      <pivotArea outline="0" collapsedLevelsAreSubtotals="1" fieldPosition="0">
        <references count="1">
          <reference field="4294967294" count="1" selected="0">
            <x v="2"/>
          </reference>
        </references>
      </pivotArea>
    </format>
    <format dxfId="38">
      <pivotArea type="all" dataOnly="0" outline="0" fieldPosition="0"/>
    </format>
    <format dxfId="37">
      <pivotArea outline="0" collapsedLevelsAreSubtotals="1" fieldPosition="0"/>
    </format>
    <format dxfId="36">
      <pivotArea field="3" type="button" dataOnly="0" labelOnly="1" outline="0" axis="axisRow" fieldPosition="0"/>
    </format>
    <format dxfId="35">
      <pivotArea dataOnly="0" labelOnly="1" outline="0" fieldPosition="0">
        <references count="1">
          <reference field="3" count="0"/>
        </references>
      </pivotArea>
    </format>
    <format dxfId="34">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1271"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4">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1223"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5">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1226"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6">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1253"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9">
      <pivotArea outline="0" collapsedLevelsAreSubtotals="1" fieldPosition="0">
        <references count="1">
          <reference field="4294967294" count="1" selected="0">
            <x v="0"/>
          </reference>
        </references>
      </pivotArea>
    </format>
    <format dxfId="18">
      <pivotArea outline="0" fieldPosition="0">
        <references count="1">
          <reference field="4294967294" count="1">
            <x v="1"/>
          </reference>
        </references>
      </pivotArea>
    </format>
    <format dxfId="17">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1247"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1244"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8">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1241"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1238"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13">
      <pivotArea outline="0" collapsedLevelsAreSubtotals="1" fieldPosition="0">
        <references count="1">
          <reference field="4294967294" count="1" selected="0">
            <x v="0"/>
          </reference>
        </references>
      </pivotArea>
    </format>
    <format dxfId="12">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11">
      <pivotArea outline="0" fieldPosition="0">
        <references count="1">
          <reference field="1" count="10" selected="0">
            <x v="397"/>
            <x v="399"/>
            <x v="402"/>
            <x v="403"/>
            <x v="405"/>
            <x v="406"/>
            <x v="407"/>
            <x v="408"/>
            <x v="410"/>
            <x v="412"/>
          </reference>
        </references>
      </pivotArea>
    </format>
    <format dxfId="10">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1259" applyNumberFormats="0" applyBorderFormats="0" applyFontFormats="0" applyPatternFormats="0" applyAlignmentFormats="0" applyWidthHeightFormats="1" dataCaption="Values" missingCaption="0" tag="2b0b1914-b94d-44eb-9681-7b77f7fd3917"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1250"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3">
      <pivotArea outline="0" collapsedLevelsAreSubtotals="1" fieldPosition="0">
        <references count="1">
          <reference field="4294967294" count="1" selected="0">
            <x v="0"/>
          </reference>
        </references>
      </pivotArea>
    </format>
    <format dxfId="2">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1256" applyNumberFormats="0" applyBorderFormats="0" applyFontFormats="0" applyPatternFormats="0" applyAlignmentFormats="0" applyWidthHeightFormats="1" dataCaption="Values" missingCaption="0" tag="f9cb623f-c493-43b9-989c-2b451ed60d7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4">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4">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1265" applyNumberFormats="0" applyBorderFormats="0" applyFontFormats="0" applyPatternFormats="0" applyAlignmentFormats="0" applyWidthHeightFormats="1" dataCaption="Values" missingCaption="0" tag="b47ddc66-f7a3-4e89-916e-25778db73504" updatedVersion="6" minRefreshableVersion="3" useAutoFormatting="1" subtotalHiddenItems="1" rowGrandTotals="0" colGrandTotals="0" itemPrintTitles="1" createdVersion="6" indent="0" showEmptyRow="1" showEmptyCol="1" compact="0" compactData="0" multipleFieldFilters="0" chartFormat="5">
  <location ref="X2:Y8" firstHeaderRow="1" firstDataRow="1" firstDataCol="1"/>
  <pivotFields count="3">
    <pivotField axis="axisRow" compact="0" allDrilled="1" outline="0" subtotalTop="0" showAll="0" dataSourceSort="1" defaultSubtotal="0" defaultAttributeDrillState="1">
      <items count="6">
        <item x="0"/>
        <item x="1"/>
        <item x="2"/>
        <item x="3"/>
        <item x="4"/>
        <item x="5"/>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6">
    <i>
      <x/>
    </i>
    <i>
      <x v="1"/>
    </i>
    <i>
      <x v="2"/>
    </i>
    <i>
      <x v="3"/>
    </i>
    <i>
      <x v="4"/>
    </i>
    <i>
      <x v="5"/>
    </i>
  </rowItems>
  <colItems count="1">
    <i/>
  </colItems>
  <dataFields count="1">
    <dataField fld="1" subtotal="count" baseField="0" baseItem="0"/>
  </dataFields>
  <formats count="1">
    <format dxfId="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1262"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6">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2000027572">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000027572">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000027572">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startItem="2" columnCount="2"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workbookViewId="0">
      <selection activeCell="C2" sqref="C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2005</v>
      </c>
      <c r="N2" s="3">
        <v>1013</v>
      </c>
      <c r="O2" s="2">
        <v>33370192.17119991</v>
      </c>
      <c r="P2" s="2">
        <v>13403626.559800046</v>
      </c>
      <c r="Q2" s="2">
        <v>19966565.611399993</v>
      </c>
      <c r="R2" s="3">
        <v>10400</v>
      </c>
      <c r="S2" s="5">
        <v>0.40166465002763824</v>
      </c>
      <c r="U2" s="9">
        <v>2005</v>
      </c>
      <c r="X2">
        <f>COUNTA(U2:U5)</f>
        <v>4</v>
      </c>
    </row>
    <row r="3" spans="1:27" x14ac:dyDescent="0.25">
      <c r="M3">
        <v>2006</v>
      </c>
      <c r="N3" s="3">
        <v>2677</v>
      </c>
      <c r="O3" s="2">
        <v>69484523.200600043</v>
      </c>
      <c r="P3" s="2">
        <v>28177776.426300038</v>
      </c>
      <c r="Q3" s="2">
        <v>41306746.774299935</v>
      </c>
      <c r="R3" s="3">
        <v>28413</v>
      </c>
      <c r="S3" s="5">
        <v>0.40552593769624806</v>
      </c>
      <c r="U3" s="9">
        <v>2006</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2004</v>
      </c>
      <c r="Z7" s="10">
        <f>IFERROR(VLOOKUP(Y7,looktable,4,0),0)</f>
        <v>0</v>
      </c>
      <c r="AA7" s="17">
        <f>IFERROR(Z7/SUM($Z$6:$Z$7),0)</f>
        <v>0</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0</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t="e">
        <f>Z13/SUM($Z$13:$Z$14)</f>
        <v>#DIV/0!</v>
      </c>
    </row>
    <row r="14" spans="1:27" x14ac:dyDescent="0.25">
      <c r="X14" s="9" t="s">
        <v>22</v>
      </c>
      <c r="Y14" s="9">
        <f>U2-1</f>
        <v>2004</v>
      </c>
      <c r="Z14" s="10">
        <f>IFERROR(VLOOKUP(Y14,looktable,3,0),0)</f>
        <v>0</v>
      </c>
      <c r="AA14" s="17" t="e">
        <f>Z14/SUM($Z$13:$Z$14)</f>
        <v>#DIV/0!</v>
      </c>
    </row>
    <row r="16" spans="1:27" x14ac:dyDescent="0.25">
      <c r="A16" s="9" t="str">
        <f>A8</f>
        <v>Year</v>
      </c>
      <c r="B16" s="9" t="str">
        <f>_xlfn.IFS($C$5=1,B8,$C$5=2,C8,$C$5=3,D8)</f>
        <v xml:space="preserve"> Profit</v>
      </c>
      <c r="C16" s="9" t="str">
        <f>"Average"  &amp;  B16</f>
        <v>Average Profit</v>
      </c>
      <c r="D16" s="9" t="s">
        <v>9</v>
      </c>
      <c r="X16" s="18" t="s">
        <v>24</v>
      </c>
      <c r="Y16" s="18"/>
      <c r="Z16" s="18"/>
      <c r="AA16" s="19" t="e">
        <f>AA13-AA14</f>
        <v>#DIV/0!</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t="e">
        <f>Z19/SUM($Z$19:$Z$20)</f>
        <v>#DIV/0!</v>
      </c>
    </row>
    <row r="20" spans="1:27" x14ac:dyDescent="0.25">
      <c r="A20" s="9">
        <f>A12</f>
        <v>2008</v>
      </c>
      <c r="B20" s="10">
        <f>_xlfn.IFS($C$5=1,B12,$C$5=2,C12,$C$5=3,D12)</f>
        <v>42162063.995700337</v>
      </c>
      <c r="C20" s="12">
        <f>AVERAGE($B$17:$B$20)</f>
        <v>31572644.411500201</v>
      </c>
      <c r="D20" s="9">
        <f>IF(B20&gt;C20,B20," ")</f>
        <v>42162063.995700337</v>
      </c>
      <c r="X20" s="9" t="s">
        <v>22</v>
      </c>
      <c r="Y20" s="9">
        <f>U2-1</f>
        <v>2004</v>
      </c>
      <c r="Z20" s="10">
        <f>IFERROR(VLOOKUP(Y20,looktable,5,0),0)</f>
        <v>0</v>
      </c>
      <c r="AA20" s="17" t="e">
        <f>Z20/SUM($Z$19:$Z$20)</f>
        <v>#DIV/0!</v>
      </c>
    </row>
    <row r="22" spans="1:27" x14ac:dyDescent="0.25">
      <c r="X22" s="18" t="s">
        <v>24</v>
      </c>
      <c r="Y22" s="18"/>
      <c r="Z22" s="18"/>
      <c r="AA22" s="19" t="e">
        <f>AA19-AA20</f>
        <v>#DIV/0!</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t="e">
        <f>Z25/SUM($Z$25:$Z$26)</f>
        <v>#DIV/0!</v>
      </c>
    </row>
    <row r="26" spans="1:27" x14ac:dyDescent="0.25">
      <c r="X26" s="9" t="s">
        <v>22</v>
      </c>
      <c r="Y26" s="9">
        <f>U2-1</f>
        <v>2004</v>
      </c>
      <c r="Z26" s="11">
        <f>IFERROR(VLOOKUP(Y26,looktable,6,0),0)</f>
        <v>0</v>
      </c>
      <c r="AA26" s="17" t="e">
        <f>Z26/SUM($Z$25:$Z$26)</f>
        <v>#DIV/0!</v>
      </c>
    </row>
    <row r="28" spans="1:27" x14ac:dyDescent="0.25">
      <c r="B28" s="3"/>
      <c r="C28" s="3"/>
      <c r="X28" s="18" t="s">
        <v>24</v>
      </c>
      <c r="Y28" s="18"/>
      <c r="Z28" s="18"/>
      <c r="AA28" s="19" t="e">
        <f>AA25-AA26</f>
        <v>#DIV/0!</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t="e">
        <f>Z31/SUM($Z$31:$Z$32)</f>
        <v>#DIV/0!</v>
      </c>
    </row>
    <row r="32" spans="1:27" x14ac:dyDescent="0.25">
      <c r="X32" s="9" t="s">
        <v>22</v>
      </c>
      <c r="Y32" s="9">
        <f>U2-1</f>
        <v>2004</v>
      </c>
      <c r="Z32" s="11">
        <f>IFERROR(VLOOKUP(Y32,looktable,2,0),0)</f>
        <v>0</v>
      </c>
      <c r="AA32" s="17" t="e">
        <f>Z32/SUM($Z$31:$Z$32)</f>
        <v>#DIV/0!</v>
      </c>
    </row>
    <row r="34" spans="24:27" x14ac:dyDescent="0.25">
      <c r="X34" s="18" t="s">
        <v>24</v>
      </c>
      <c r="Y34" s="18"/>
      <c r="Z34" s="18"/>
      <c r="AA34" s="19" t="e">
        <f>AA31-AA32</f>
        <v>#DIV/0!</v>
      </c>
    </row>
    <row r="36" spans="24:27" x14ac:dyDescent="0.25">
      <c r="X36" s="16" t="s">
        <v>6</v>
      </c>
      <c r="Y36" s="16" t="s">
        <v>7</v>
      </c>
      <c r="Z36" s="16" t="s">
        <v>30</v>
      </c>
      <c r="AA36" s="16" t="s">
        <v>11</v>
      </c>
    </row>
    <row r="37" spans="24:27" x14ac:dyDescent="0.25">
      <c r="X37" s="9" t="s">
        <v>21</v>
      </c>
      <c r="Y37" s="9">
        <f>IF(X2=1,U2,0)</f>
        <v>0</v>
      </c>
      <c r="Z37" s="20">
        <f>IFERROR(VLOOKUP(Y37,looktable,7,0),0)</f>
        <v>0</v>
      </c>
      <c r="AA37" s="17" t="e">
        <f>Z37/SUM($Z$37:$Z$38)</f>
        <v>#DIV/0!</v>
      </c>
    </row>
    <row r="38" spans="24:27" x14ac:dyDescent="0.25">
      <c r="X38" s="9" t="s">
        <v>22</v>
      </c>
      <c r="Y38" s="9">
        <f>U2-1</f>
        <v>2004</v>
      </c>
      <c r="Z38" s="20">
        <f>IFERROR(VLOOKUP(Y38,looktable,7,0),0)</f>
        <v>0</v>
      </c>
      <c r="AA38" s="17" t="e">
        <f>Z38/SUM($Z$37:$Z$38)</f>
        <v>#DIV/0!</v>
      </c>
    </row>
    <row r="40" spans="24:27" x14ac:dyDescent="0.25">
      <c r="X40" s="18" t="s">
        <v>24</v>
      </c>
      <c r="Y40" s="18"/>
      <c r="Z40" s="18"/>
      <c r="AA40" s="19" t="e">
        <f>AA37-AA38</f>
        <v>#DIV/0!</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R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In2005</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zoomScaleNormal="100" workbookViewId="0">
      <selection activeCell="Q28" sqref="Q2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T1" workbookViewId="0">
      <selection activeCell="Z2" sqref="Z2"/>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abSelected="1" topLeftCell="S1" workbookViewId="0">
      <selection activeCell="AH1" sqref="AH1:AI1048576"/>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10.140625" bestFit="1" customWidth="1"/>
    <col min="13" max="13" width="9.140625" style="15"/>
    <col min="15" max="15" width="12.28515625" bestFit="1" customWidth="1"/>
    <col min="16" max="16" width="7.28515625" bestFit="1" customWidth="1"/>
    <col min="22" max="22" width="2.85546875" style="15" customWidth="1"/>
    <col min="24" max="24" width="15.42578125" bestFit="1" customWidth="1"/>
    <col min="25" max="26" width="8.28515625" bestFit="1" customWidth="1"/>
    <col min="29" max="29" width="15.42578125" bestFit="1" customWidth="1"/>
    <col min="34" max="34" width="20.85546875" bestFit="1" customWidth="1"/>
  </cols>
  <sheetData>
    <row r="2" spans="1:29" x14ac:dyDescent="0.25">
      <c r="A2" s="4" t="s">
        <v>590</v>
      </c>
      <c r="B2" t="s">
        <v>15</v>
      </c>
      <c r="D2" t="str">
        <f>A2</f>
        <v>Full Name</v>
      </c>
      <c r="E2" t="str">
        <f>B2</f>
        <v xml:space="preserve"> Profit</v>
      </c>
      <c r="F2" t="s">
        <v>573</v>
      </c>
      <c r="G2" s="2"/>
      <c r="I2" t="s">
        <v>18993</v>
      </c>
      <c r="J2" t="s">
        <v>18994</v>
      </c>
      <c r="O2" s="4" t="s">
        <v>18998</v>
      </c>
      <c r="P2" t="s">
        <v>15</v>
      </c>
      <c r="R2" t="str">
        <f>O2</f>
        <v>Age group</v>
      </c>
      <c r="S2" t="str">
        <f>P2</f>
        <v xml:space="preserve"> Profit</v>
      </c>
      <c r="T2" t="s">
        <v>52</v>
      </c>
      <c r="X2" s="4" t="s">
        <v>19008</v>
      </c>
      <c r="Y2" t="s">
        <v>15</v>
      </c>
      <c r="AA2" t="s">
        <v>19015</v>
      </c>
      <c r="AB2" t="s">
        <v>19016</v>
      </c>
      <c r="AC2" t="str">
        <f>X2</f>
        <v>Country</v>
      </c>
    </row>
    <row r="3" spans="1:29" x14ac:dyDescent="0.25">
      <c r="A3" t="s">
        <v>18726</v>
      </c>
      <c r="B3" s="23">
        <v>80609.041400000002</v>
      </c>
      <c r="D3" t="str">
        <f t="shared" ref="D3:E7" si="0">A3</f>
        <v>Willie Xu</v>
      </c>
      <c r="E3" s="23">
        <f t="shared" si="0"/>
        <v>80609.041400000002</v>
      </c>
      <c r="F3" s="23">
        <f t="shared" ref="F3:F7" si="1">E3</f>
        <v>80609.041400000002</v>
      </c>
      <c r="G3" s="2"/>
      <c r="I3" s="25">
        <v>18484</v>
      </c>
      <c r="J3" s="25">
        <v>46.534083531703097</v>
      </c>
      <c r="O3" t="s">
        <v>18999</v>
      </c>
      <c r="P3" s="23">
        <v>2419050.9197000009</v>
      </c>
      <c r="R3" t="str">
        <f t="shared" ref="R3:R9" si="2">O3</f>
        <v>0-27</v>
      </c>
      <c r="S3" s="23">
        <f t="shared" ref="S3:S9" si="3">P3</f>
        <v>2419050.9197000009</v>
      </c>
      <c r="T3" s="23" t="str">
        <f>IF(S3=MAX($S$3:$S$9),S3,"")</f>
        <v/>
      </c>
      <c r="X3" t="s">
        <v>19009</v>
      </c>
      <c r="Y3" s="23">
        <v>126290577.64600056</v>
      </c>
      <c r="AA3">
        <v>9</v>
      </c>
      <c r="AB3">
        <v>2</v>
      </c>
      <c r="AC3" t="str">
        <f t="shared" ref="AC3:AC8" si="4">X3</f>
        <v>Australia</v>
      </c>
    </row>
    <row r="4" spans="1:29" x14ac:dyDescent="0.25">
      <c r="A4" t="s">
        <v>10244</v>
      </c>
      <c r="B4" s="23">
        <v>78346.272800000006</v>
      </c>
      <c r="D4" t="str">
        <f t="shared" si="0"/>
        <v>Jordan Turner</v>
      </c>
      <c r="E4" s="23">
        <f t="shared" si="0"/>
        <v>78346.272800000006</v>
      </c>
      <c r="F4" s="23">
        <f t="shared" si="1"/>
        <v>78346.272800000006</v>
      </c>
      <c r="G4" s="2"/>
      <c r="O4" t="s">
        <v>19000</v>
      </c>
      <c r="P4" s="23">
        <v>2901924.9990000054</v>
      </c>
      <c r="R4" t="str">
        <f t="shared" si="2"/>
        <v>28-32</v>
      </c>
      <c r="S4" s="23">
        <f t="shared" si="3"/>
        <v>2901924.9990000054</v>
      </c>
      <c r="T4" s="23" t="str">
        <f t="shared" ref="T4:T9" si="5">IF(S4=MAX($S$3:$S$9),S4,"")</f>
        <v/>
      </c>
      <c r="X4" t="s">
        <v>19010</v>
      </c>
      <c r="Y4" s="23">
        <v>126290577.64600056</v>
      </c>
      <c r="AA4">
        <v>1.5</v>
      </c>
      <c r="AB4">
        <v>8.5</v>
      </c>
      <c r="AC4" t="str">
        <f t="shared" si="4"/>
        <v>Canada</v>
      </c>
    </row>
    <row r="5" spans="1:29" x14ac:dyDescent="0.25">
      <c r="A5" t="s">
        <v>13011</v>
      </c>
      <c r="B5" s="23">
        <v>66024.873400000011</v>
      </c>
      <c r="D5" t="str">
        <f t="shared" si="0"/>
        <v>Margaret He</v>
      </c>
      <c r="E5" s="23">
        <f t="shared" si="0"/>
        <v>66024.873400000011</v>
      </c>
      <c r="F5" s="23">
        <f t="shared" si="1"/>
        <v>66024.873400000011</v>
      </c>
      <c r="O5" t="s">
        <v>19001</v>
      </c>
      <c r="P5" s="23">
        <v>16899714.97670003</v>
      </c>
      <c r="R5" t="str">
        <f t="shared" si="2"/>
        <v>33-37</v>
      </c>
      <c r="S5" s="23">
        <f t="shared" si="3"/>
        <v>16899714.97670003</v>
      </c>
      <c r="T5" s="23" t="str">
        <f t="shared" si="5"/>
        <v/>
      </c>
      <c r="X5" t="s">
        <v>19011</v>
      </c>
      <c r="Y5" s="23">
        <v>126290577.64600056</v>
      </c>
      <c r="AA5">
        <v>1.5</v>
      </c>
      <c r="AB5">
        <v>7</v>
      </c>
      <c r="AC5" t="str">
        <f t="shared" si="4"/>
        <v>France</v>
      </c>
    </row>
    <row r="6" spans="1:29" x14ac:dyDescent="0.25">
      <c r="A6" t="s">
        <v>14649</v>
      </c>
      <c r="B6" s="23">
        <v>64046.154300000009</v>
      </c>
      <c r="D6" t="str">
        <f t="shared" si="0"/>
        <v>Nichole Nara</v>
      </c>
      <c r="E6" s="23">
        <f t="shared" si="0"/>
        <v>64046.154300000009</v>
      </c>
      <c r="F6" s="23">
        <f t="shared" si="1"/>
        <v>64046.154300000009</v>
      </c>
      <c r="G6" s="13"/>
      <c r="O6" t="s">
        <v>19002</v>
      </c>
      <c r="P6" s="23">
        <v>16514500.687100008</v>
      </c>
      <c r="R6" t="str">
        <f t="shared" si="2"/>
        <v>38-42</v>
      </c>
      <c r="S6" s="23">
        <f t="shared" si="3"/>
        <v>16514500.687100008</v>
      </c>
      <c r="T6" s="23" t="str">
        <f t="shared" si="5"/>
        <v/>
      </c>
      <c r="X6" t="s">
        <v>19012</v>
      </c>
      <c r="Y6" s="23">
        <v>126290577.64600056</v>
      </c>
      <c r="AA6">
        <v>4</v>
      </c>
      <c r="AB6">
        <v>9.4</v>
      </c>
      <c r="AC6" t="str">
        <f t="shared" si="4"/>
        <v>Germany</v>
      </c>
    </row>
    <row r="7" spans="1:29" x14ac:dyDescent="0.25">
      <c r="A7" t="s">
        <v>5466</v>
      </c>
      <c r="B7" s="23">
        <v>61984.926700000004</v>
      </c>
      <c r="D7" t="str">
        <f t="shared" si="0"/>
        <v>Dawn Nath</v>
      </c>
      <c r="E7" s="23">
        <f t="shared" si="0"/>
        <v>61984.926700000004</v>
      </c>
      <c r="F7" s="23">
        <f t="shared" si="1"/>
        <v>61984.926700000004</v>
      </c>
      <c r="O7" t="s">
        <v>19003</v>
      </c>
      <c r="P7" s="23">
        <v>14660707.284999985</v>
      </c>
      <c r="R7" t="str">
        <f t="shared" si="2"/>
        <v>43-47</v>
      </c>
      <c r="S7" s="23">
        <f t="shared" si="3"/>
        <v>14660707.284999985</v>
      </c>
      <c r="T7" s="23" t="str">
        <f t="shared" si="5"/>
        <v/>
      </c>
      <c r="X7" t="s">
        <v>19013</v>
      </c>
      <c r="Y7" s="23">
        <v>126290577.64600056</v>
      </c>
      <c r="AA7">
        <v>5</v>
      </c>
      <c r="AB7">
        <v>8</v>
      </c>
      <c r="AC7" t="str">
        <f t="shared" si="4"/>
        <v>United Kingdom</v>
      </c>
    </row>
    <row r="8" spans="1:29" x14ac:dyDescent="0.25">
      <c r="A8" t="s">
        <v>15821</v>
      </c>
      <c r="B8" s="23">
        <v>61660.063800000004</v>
      </c>
      <c r="I8" s="4" t="s">
        <v>18995</v>
      </c>
      <c r="J8" t="s">
        <v>15</v>
      </c>
      <c r="O8" t="s">
        <v>19004</v>
      </c>
      <c r="P8" s="23">
        <v>15861571.400899978</v>
      </c>
      <c r="R8" t="str">
        <f t="shared" si="2"/>
        <v>48-52</v>
      </c>
      <c r="S8" s="23">
        <f t="shared" si="3"/>
        <v>15861571.400899978</v>
      </c>
      <c r="T8" s="23" t="str">
        <f t="shared" si="5"/>
        <v/>
      </c>
      <c r="X8" t="s">
        <v>19014</v>
      </c>
      <c r="Y8" s="23">
        <v>126290577.64600056</v>
      </c>
      <c r="AA8">
        <v>4</v>
      </c>
      <c r="AB8">
        <v>8</v>
      </c>
      <c r="AC8" t="str">
        <f t="shared" si="4"/>
        <v>United States</v>
      </c>
    </row>
    <row r="9" spans="1:29" x14ac:dyDescent="0.25">
      <c r="A9" t="s">
        <v>6534</v>
      </c>
      <c r="B9" s="23">
        <v>61573.700600000004</v>
      </c>
      <c r="D9" t="s">
        <v>195</v>
      </c>
      <c r="I9" t="s">
        <v>18996</v>
      </c>
      <c r="J9" s="25">
        <v>63636814.545101412</v>
      </c>
      <c r="O9" t="s">
        <v>19005</v>
      </c>
      <c r="P9" s="23">
        <v>57033107.377601005</v>
      </c>
      <c r="R9" t="str">
        <f t="shared" si="2"/>
        <v>53 Plus</v>
      </c>
      <c r="S9" s="23">
        <f t="shared" si="3"/>
        <v>57033107.377601005</v>
      </c>
      <c r="T9" s="23">
        <f t="shared" si="5"/>
        <v>57033107.377601005</v>
      </c>
    </row>
    <row r="10" spans="1:29" x14ac:dyDescent="0.25">
      <c r="A10" t="s">
        <v>10938</v>
      </c>
      <c r="B10" s="23">
        <v>61511.864200000004</v>
      </c>
      <c r="D10" s="23"/>
      <c r="I10" t="s">
        <v>18997</v>
      </c>
      <c r="J10" s="25">
        <v>62653763.100900158</v>
      </c>
    </row>
    <row r="11" spans="1:29" x14ac:dyDescent="0.25">
      <c r="A11" t="s">
        <v>1974</v>
      </c>
      <c r="B11" s="23">
        <v>61461.112999999998</v>
      </c>
      <c r="D11" t="s">
        <v>18992</v>
      </c>
      <c r="E11" t="s">
        <v>23</v>
      </c>
      <c r="F11" t="s">
        <v>11</v>
      </c>
    </row>
    <row r="12" spans="1:29" x14ac:dyDescent="0.25">
      <c r="A12" t="s">
        <v>2911</v>
      </c>
      <c r="B12" s="23">
        <v>60861.2886</v>
      </c>
      <c r="D12" t="s">
        <v>18991</v>
      </c>
      <c r="E12" s="23">
        <f>SUM(E3:E7)</f>
        <v>351011.26860000007</v>
      </c>
      <c r="F12" s="13">
        <f>E12/SUM($E$12:$E$13)</f>
        <v>2.7793939590956915E-3</v>
      </c>
    </row>
    <row r="13" spans="1:29" x14ac:dyDescent="0.25">
      <c r="A13" t="s">
        <v>640</v>
      </c>
      <c r="B13" s="23">
        <v>60682.781300000002</v>
      </c>
      <c r="D13" t="s">
        <v>197</v>
      </c>
      <c r="E13" s="23">
        <f>SUM(B8:B18402)</f>
        <v>125939566.37740082</v>
      </c>
      <c r="F13" s="13">
        <f>E13/SUM($E$12:$E$13)</f>
        <v>0.99722060604090434</v>
      </c>
      <c r="I13" t="str">
        <f>I8</f>
        <v>Gender</v>
      </c>
      <c r="J13" t="str">
        <f>J8</f>
        <v xml:space="preserve"> Profit</v>
      </c>
      <c r="K13" t="s">
        <v>11</v>
      </c>
      <c r="O13" t="s">
        <v>588</v>
      </c>
      <c r="P13" s="23">
        <f>MAX(S3:S9)</f>
        <v>57033107.377601005</v>
      </c>
    </row>
    <row r="14" spans="1:29" x14ac:dyDescent="0.25">
      <c r="A14" t="s">
        <v>12886</v>
      </c>
      <c r="B14" s="23">
        <v>59847.9568</v>
      </c>
      <c r="I14" t="str">
        <f t="shared" ref="I14" si="6">I9</f>
        <v>F</v>
      </c>
      <c r="J14" s="13">
        <f>J9/SUM($J$9:$J$10)</f>
        <v>0.50389202212280948</v>
      </c>
      <c r="K14">
        <v>1</v>
      </c>
      <c r="O14" t="s">
        <v>19006</v>
      </c>
      <c r="P14" s="13">
        <f>P13/SUM(S3:S9)</f>
        <v>0.45160223700510532</v>
      </c>
    </row>
    <row r="15" spans="1:29" x14ac:dyDescent="0.25">
      <c r="A15" t="s">
        <v>803</v>
      </c>
      <c r="B15" s="23">
        <v>59490.702200000007</v>
      </c>
      <c r="I15" t="str">
        <f t="shared" ref="I15" si="7">I10</f>
        <v>M</v>
      </c>
      <c r="J15" s="13">
        <f>J10/SUM($J$9:$J$10)</f>
        <v>0.49610797787719046</v>
      </c>
      <c r="K15">
        <v>1</v>
      </c>
    </row>
    <row r="16" spans="1:29" x14ac:dyDescent="0.25">
      <c r="A16" t="s">
        <v>11984</v>
      </c>
      <c r="B16" s="23">
        <v>59483.488099999995</v>
      </c>
      <c r="O16" t="s">
        <v>19007</v>
      </c>
      <c r="P16" t="str">
        <f>INDEX(O3:O9,MATCH(P13,P3:P9,0))</f>
        <v>53 Plus</v>
      </c>
    </row>
    <row r="17" spans="1:16" x14ac:dyDescent="0.25">
      <c r="A17" t="s">
        <v>7195</v>
      </c>
      <c r="B17" s="23">
        <v>59172.551700000004</v>
      </c>
    </row>
    <row r="18" spans="1:16" x14ac:dyDescent="0.25">
      <c r="A18" t="s">
        <v>11489</v>
      </c>
      <c r="B18" s="23">
        <v>58741.257400000002</v>
      </c>
      <c r="O18" t="s">
        <v>12</v>
      </c>
      <c r="P18" t="str">
        <f>"The" &amp;P16&amp;" Age-Group Contributed"</f>
        <v>The53 Plus Age-Group Contributed</v>
      </c>
    </row>
    <row r="19" spans="1:16" x14ac:dyDescent="0.25">
      <c r="A19" t="s">
        <v>9531</v>
      </c>
      <c r="B19" s="23">
        <v>58638.896000000001</v>
      </c>
    </row>
    <row r="20" spans="1:16" x14ac:dyDescent="0.25">
      <c r="A20" t="s">
        <v>13927</v>
      </c>
      <c r="B20" s="23">
        <v>58394.799400000004</v>
      </c>
    </row>
    <row r="21" spans="1:16" x14ac:dyDescent="0.25">
      <c r="A21" t="s">
        <v>10628</v>
      </c>
      <c r="B21" s="23">
        <v>58064.689500000008</v>
      </c>
    </row>
    <row r="22" spans="1:16" x14ac:dyDescent="0.25">
      <c r="A22" t="s">
        <v>11844</v>
      </c>
      <c r="B22" s="23">
        <v>57927.592199999999</v>
      </c>
    </row>
    <row r="23" spans="1:16" x14ac:dyDescent="0.25">
      <c r="A23" t="s">
        <v>18016</v>
      </c>
      <c r="B23" s="23">
        <v>57496.545700000002</v>
      </c>
    </row>
    <row r="24" spans="1:16" x14ac:dyDescent="0.25">
      <c r="A24" t="s">
        <v>10102</v>
      </c>
      <c r="B24" s="23">
        <v>56196.410600000003</v>
      </c>
    </row>
    <row r="25" spans="1:16" x14ac:dyDescent="0.25">
      <c r="A25" t="s">
        <v>16567</v>
      </c>
      <c r="B25" s="23">
        <v>56084.1132</v>
      </c>
    </row>
    <row r="26" spans="1:16" x14ac:dyDescent="0.25">
      <c r="A26" t="s">
        <v>10853</v>
      </c>
      <c r="B26" s="23">
        <v>55024.921000000002</v>
      </c>
    </row>
    <row r="27" spans="1:16" x14ac:dyDescent="0.25">
      <c r="A27" t="s">
        <v>8285</v>
      </c>
      <c r="B27" s="23">
        <v>54657.928500000002</v>
      </c>
    </row>
    <row r="28" spans="1:16" x14ac:dyDescent="0.25">
      <c r="A28" t="s">
        <v>4963</v>
      </c>
      <c r="B28" s="23">
        <v>54553.266000000003</v>
      </c>
    </row>
    <row r="29" spans="1:16" x14ac:dyDescent="0.25">
      <c r="A29" t="s">
        <v>15313</v>
      </c>
      <c r="B29" s="23">
        <v>54543.528200000008</v>
      </c>
    </row>
    <row r="30" spans="1:16" x14ac:dyDescent="0.25">
      <c r="A30" t="s">
        <v>9732</v>
      </c>
      <c r="B30" s="23">
        <v>54497.349900000001</v>
      </c>
    </row>
    <row r="31" spans="1:16" x14ac:dyDescent="0.25">
      <c r="A31" t="s">
        <v>15812</v>
      </c>
      <c r="B31" s="23">
        <v>54341.696499999998</v>
      </c>
    </row>
    <row r="32" spans="1:16"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Props1.xml><?xml version="1.0" encoding="utf-8"?>
<ds:datastoreItem xmlns:ds="http://schemas.openxmlformats.org/officeDocument/2006/customXml" ds:itemID="{C4431CE6-966B-4F50-8A5F-34421608A307}">
  <ds:schemaRefs/>
</ds:datastoreItem>
</file>

<file path=customXml/itemProps2.xml><?xml version="1.0" encoding="utf-8"?>
<ds:datastoreItem xmlns:ds="http://schemas.openxmlformats.org/officeDocument/2006/customXml" ds:itemID="{60EAB325-9657-4DDC-9EE5-D25064C7D957}">
  <ds:schemaRefs/>
</ds:datastoreItem>
</file>

<file path=customXml/itemProps3.xml><?xml version="1.0" encoding="utf-8"?>
<ds:datastoreItem xmlns:ds="http://schemas.openxmlformats.org/officeDocument/2006/customXml" ds:itemID="{E6B3C2B3-C621-4766-AD8A-F4374B9318BC}">
  <ds:schemaRefs/>
</ds:datastoreItem>
</file>

<file path=customXml/itemProps4.xml><?xml version="1.0" encoding="utf-8"?>
<ds:datastoreItem xmlns:ds="http://schemas.openxmlformats.org/officeDocument/2006/customXml" ds:itemID="{FAFDE0E8-EB83-4830-8A26-A9E245CA2E88}">
  <ds:schemaRefs/>
</ds:datastoreItem>
</file>

<file path=customXml/itemProps5.xml><?xml version="1.0" encoding="utf-8"?>
<ds:datastoreItem xmlns:ds="http://schemas.openxmlformats.org/officeDocument/2006/customXml" ds:itemID="{B998F005-8B6B-4ABB-95E2-C8F857ECB733}">
  <ds:schemaRefs/>
</ds:datastoreItem>
</file>

<file path=customXml/itemProps6.xml><?xml version="1.0" encoding="utf-8"?>
<ds:datastoreItem xmlns:ds="http://schemas.openxmlformats.org/officeDocument/2006/customXml" ds:itemID="{622FB59E-8E90-44E7-9454-1388D2EBA507}">
  <ds:schemaRefs/>
</ds:datastoreItem>
</file>

<file path=customXml/itemProps7.xml><?xml version="1.0" encoding="utf-8"?>
<ds:datastoreItem xmlns:ds="http://schemas.openxmlformats.org/officeDocument/2006/customXml" ds:itemID="{0F54ED30-B3FD-4E36-A4E8-8455D9450772}">
  <ds:schemaRefs/>
</ds:datastoreItem>
</file>

<file path=customXml/itemProps8.xml><?xml version="1.0" encoding="utf-8"?>
<ds:datastoreItem xmlns:ds="http://schemas.openxmlformats.org/officeDocument/2006/customXml" ds:itemID="{44B80552-ED7C-4614-B26E-1FDC2CC99A96}">
  <ds:schemaRefs/>
</ds:datastoreItem>
</file>

<file path=customXml/itemProps9.xml><?xml version="1.0" encoding="utf-8"?>
<ds:datastoreItem xmlns:ds="http://schemas.openxmlformats.org/officeDocument/2006/customXml" ds:itemID="{A48DFC0E-FFA1-478C-91F2-6C3252A125D0}">
  <ds:schemaRefs/>
</ds:datastoreItem>
</file>

<file path=customXml/itemProps10.xml><?xml version="1.0" encoding="utf-8"?>
<ds:datastoreItem xmlns:ds="http://schemas.openxmlformats.org/officeDocument/2006/customXml" ds:itemID="{3B524299-E2AC-4092-BE04-0100C8DCC8EB}">
  <ds:schemaRefs/>
</ds:datastoreItem>
</file>

<file path=customXml/itemProps11.xml><?xml version="1.0" encoding="utf-8"?>
<ds:datastoreItem xmlns:ds="http://schemas.openxmlformats.org/officeDocument/2006/customXml" ds:itemID="{1B1E7077-05CB-46BD-BE76-9CFFAC3CAD94}">
  <ds:schemaRefs/>
</ds:datastoreItem>
</file>

<file path=customXml/itemProps12.xml><?xml version="1.0" encoding="utf-8"?>
<ds:datastoreItem xmlns:ds="http://schemas.openxmlformats.org/officeDocument/2006/customXml" ds:itemID="{8E86AB7F-8A0F-4DAE-A427-13CECCECEFCC}">
  <ds:schemaRefs/>
</ds:datastoreItem>
</file>

<file path=customXml/itemProps13.xml><?xml version="1.0" encoding="utf-8"?>
<ds:datastoreItem xmlns:ds="http://schemas.openxmlformats.org/officeDocument/2006/customXml" ds:itemID="{90BED013-65AD-4771-A9B9-F981C8D42671}">
  <ds:schemaRefs/>
</ds:datastoreItem>
</file>

<file path=customXml/itemProps14.xml><?xml version="1.0" encoding="utf-8"?>
<ds:datastoreItem xmlns:ds="http://schemas.openxmlformats.org/officeDocument/2006/customXml" ds:itemID="{66473D17-B36B-4D9F-9919-2B78B4C8BA56}">
  <ds:schemaRefs/>
</ds:datastoreItem>
</file>

<file path=customXml/itemProps15.xml><?xml version="1.0" encoding="utf-8"?>
<ds:datastoreItem xmlns:ds="http://schemas.openxmlformats.org/officeDocument/2006/customXml" ds:itemID="{9391157C-0EFE-42DB-B13E-340223BF4E69}">
  <ds:schemaRefs/>
</ds:datastoreItem>
</file>

<file path=customXml/itemProps16.xml><?xml version="1.0" encoding="utf-8"?>
<ds:datastoreItem xmlns:ds="http://schemas.openxmlformats.org/officeDocument/2006/customXml" ds:itemID="{1AB8410F-9F1B-4019-94BD-C114C14CDA42}">
  <ds:schemaRefs/>
</ds:datastoreItem>
</file>

<file path=customXml/itemProps17.xml><?xml version="1.0" encoding="utf-8"?>
<ds:datastoreItem xmlns:ds="http://schemas.openxmlformats.org/officeDocument/2006/customXml" ds:itemID="{9AE6EBE2-2548-48A5-A160-52BA73EEA3FC}">
  <ds:schemaRefs/>
</ds:datastoreItem>
</file>

<file path=customXml/itemProps18.xml><?xml version="1.0" encoding="utf-8"?>
<ds:datastoreItem xmlns:ds="http://schemas.openxmlformats.org/officeDocument/2006/customXml" ds:itemID="{03DF40E8-B692-4752-96A4-0E8EAB3AB4B7}">
  <ds:schemaRefs/>
</ds:datastoreItem>
</file>

<file path=customXml/itemProps19.xml><?xml version="1.0" encoding="utf-8"?>
<ds:datastoreItem xmlns:ds="http://schemas.openxmlformats.org/officeDocument/2006/customXml" ds:itemID="{C21686A0-9FA5-40DC-9522-EF95AB8809BE}">
  <ds:schemaRefs>
    <ds:schemaRef ds:uri="http://schemas.microsoft.com/DataMashup"/>
  </ds:schemaRefs>
</ds:datastoreItem>
</file>

<file path=customXml/itemProps20.xml><?xml version="1.0" encoding="utf-8"?>
<ds:datastoreItem xmlns:ds="http://schemas.openxmlformats.org/officeDocument/2006/customXml" ds:itemID="{8281FC50-5F30-47D7-B9A2-6DBC5EC89FDB}">
  <ds:schemaRefs/>
</ds:datastoreItem>
</file>

<file path=customXml/itemProps21.xml><?xml version="1.0" encoding="utf-8"?>
<ds:datastoreItem xmlns:ds="http://schemas.openxmlformats.org/officeDocument/2006/customXml" ds:itemID="{24E41C6D-49D1-49F0-840D-FB2B3F0A0F41}">
  <ds:schemaRefs/>
</ds:datastoreItem>
</file>

<file path=customXml/itemProps22.xml><?xml version="1.0" encoding="utf-8"?>
<ds:datastoreItem xmlns:ds="http://schemas.openxmlformats.org/officeDocument/2006/customXml" ds:itemID="{7CCB6FD4-9B4F-4DB3-9E67-09B077F02F93}">
  <ds:schemaRefs/>
</ds:datastoreItem>
</file>

<file path=customXml/itemProps23.xml><?xml version="1.0" encoding="utf-8"?>
<ds:datastoreItem xmlns:ds="http://schemas.openxmlformats.org/officeDocument/2006/customXml" ds:itemID="{72BFC593-8C75-434F-81F5-790FF7B2A92A}">
  <ds:schemaRefs/>
</ds:datastoreItem>
</file>

<file path=customXml/itemProps24.xml><?xml version="1.0" encoding="utf-8"?>
<ds:datastoreItem xmlns:ds="http://schemas.openxmlformats.org/officeDocument/2006/customXml" ds:itemID="{BAB32AB9-9C3A-45BC-8B38-2A406E1CD00A}">
  <ds:schemaRefs/>
</ds:datastoreItem>
</file>

<file path=customXml/itemProps25.xml><?xml version="1.0" encoding="utf-8"?>
<ds:datastoreItem xmlns:ds="http://schemas.openxmlformats.org/officeDocument/2006/customXml" ds:itemID="{875DEB6B-0A56-4F75-A568-F96402A7884F}">
  <ds:schemaRefs/>
</ds:datastoreItem>
</file>

<file path=customXml/itemProps26.xml><?xml version="1.0" encoding="utf-8"?>
<ds:datastoreItem xmlns:ds="http://schemas.openxmlformats.org/officeDocument/2006/customXml" ds:itemID="{7BECDD0B-3705-47E7-B70B-9FDB81ED82D8}">
  <ds:schemaRefs/>
</ds:datastoreItem>
</file>

<file path=customXml/itemProps27.xml><?xml version="1.0" encoding="utf-8"?>
<ds:datastoreItem xmlns:ds="http://schemas.openxmlformats.org/officeDocument/2006/customXml" ds:itemID="{D815DBC8-FA64-4AA2-B804-AF418C2FD726}">
  <ds:schemaRefs/>
</ds:datastoreItem>
</file>

<file path=customXml/itemProps28.xml><?xml version="1.0" encoding="utf-8"?>
<ds:datastoreItem xmlns:ds="http://schemas.openxmlformats.org/officeDocument/2006/customXml" ds:itemID="{15363C4D-B558-4C1D-8D66-2C537A1DA0D5}">
  <ds:schemaRefs/>
</ds:datastoreItem>
</file>

<file path=customXml/itemProps29.xml><?xml version="1.0" encoding="utf-8"?>
<ds:datastoreItem xmlns:ds="http://schemas.openxmlformats.org/officeDocument/2006/customXml" ds:itemID="{B230255C-E9D2-4A2A-8DF9-614446A38E34}">
  <ds:schemaRefs/>
</ds:datastoreItem>
</file>

<file path=customXml/itemProps30.xml><?xml version="1.0" encoding="utf-8"?>
<ds:datastoreItem xmlns:ds="http://schemas.openxmlformats.org/officeDocument/2006/customXml" ds:itemID="{F145E2D0-A6A3-4078-AA24-61081013852A}">
  <ds:schemaRefs/>
</ds:datastoreItem>
</file>

<file path=customXml/itemProps31.xml><?xml version="1.0" encoding="utf-8"?>
<ds:datastoreItem xmlns:ds="http://schemas.openxmlformats.org/officeDocument/2006/customXml" ds:itemID="{487D74F5-D1C9-4CFC-9CA9-26D71F78760C}">
  <ds:schemaRefs/>
</ds:datastoreItem>
</file>

<file path=customXml/itemProps32.xml><?xml version="1.0" encoding="utf-8"?>
<ds:datastoreItem xmlns:ds="http://schemas.openxmlformats.org/officeDocument/2006/customXml" ds:itemID="{E4EC6B63-F61E-445F-AC7D-170E62F5DCFC}">
  <ds:schemaRefs/>
</ds:datastoreItem>
</file>

<file path=customXml/itemProps33.xml><?xml version="1.0" encoding="utf-8"?>
<ds:datastoreItem xmlns:ds="http://schemas.openxmlformats.org/officeDocument/2006/customXml" ds:itemID="{B98C5949-C884-4CC0-BFC2-60060F316A95}">
  <ds:schemaRefs/>
</ds:datastoreItem>
</file>

<file path=customXml/itemProps34.xml><?xml version="1.0" encoding="utf-8"?>
<ds:datastoreItem xmlns:ds="http://schemas.openxmlformats.org/officeDocument/2006/customXml" ds:itemID="{0108947E-8AA0-45A6-886B-903C93CE0FC0}">
  <ds:schemaRefs/>
</ds:datastoreItem>
</file>

<file path=customXml/itemProps35.xml><?xml version="1.0" encoding="utf-8"?>
<ds:datastoreItem xmlns:ds="http://schemas.openxmlformats.org/officeDocument/2006/customXml" ds:itemID="{3BC6D144-8E17-4C70-9186-86AC70F3022D}">
  <ds:schemaRefs/>
</ds:datastoreItem>
</file>

<file path=customXml/itemProps36.xml><?xml version="1.0" encoding="utf-8"?>
<ds:datastoreItem xmlns:ds="http://schemas.openxmlformats.org/officeDocument/2006/customXml" ds:itemID="{FD2575D9-0FA0-4EF6-978C-A605D6C12979}">
  <ds:schemaRefs/>
</ds:datastoreItem>
</file>

<file path=customXml/itemProps37.xml><?xml version="1.0" encoding="utf-8"?>
<ds:datastoreItem xmlns:ds="http://schemas.openxmlformats.org/officeDocument/2006/customXml" ds:itemID="{8D7F0F88-4223-4321-800B-38A22B370A56}">
  <ds:schemaRefs/>
</ds:datastoreItem>
</file>

<file path=customXml/itemProps38.xml><?xml version="1.0" encoding="utf-8"?>
<ds:datastoreItem xmlns:ds="http://schemas.openxmlformats.org/officeDocument/2006/customXml" ds:itemID="{BE09C621-470A-4E8B-9B87-A044737E50DC}">
  <ds:schemaRefs/>
</ds:datastoreItem>
</file>

<file path=customXml/itemProps39.xml><?xml version="1.0" encoding="utf-8"?>
<ds:datastoreItem xmlns:ds="http://schemas.openxmlformats.org/officeDocument/2006/customXml" ds:itemID="{FD9C6A27-33E1-4719-A041-1AE07FB79CE1}">
  <ds:schemaRefs/>
</ds:datastoreItem>
</file>

<file path=customXml/itemProps40.xml><?xml version="1.0" encoding="utf-8"?>
<ds:datastoreItem xmlns:ds="http://schemas.openxmlformats.org/officeDocument/2006/customXml" ds:itemID="{A8F58002-76AD-4A64-B526-4F77BAF65F72}">
  <ds:schemaRefs/>
</ds:datastoreItem>
</file>

<file path=customXml/itemProps41.xml><?xml version="1.0" encoding="utf-8"?>
<ds:datastoreItem xmlns:ds="http://schemas.openxmlformats.org/officeDocument/2006/customXml" ds:itemID="{8C71F671-571E-4DA2-8891-A7701F300A5D}">
  <ds:schemaRefs/>
</ds:datastoreItem>
</file>

<file path=customXml/itemProps42.xml><?xml version="1.0" encoding="utf-8"?>
<ds:datastoreItem xmlns:ds="http://schemas.openxmlformats.org/officeDocument/2006/customXml" ds:itemID="{4904C732-9B04-4A1A-9915-437D22A8D0FF}">
  <ds:schemaRefs/>
</ds:datastoreItem>
</file>

<file path=customXml/itemProps43.xml><?xml version="1.0" encoding="utf-8"?>
<ds:datastoreItem xmlns:ds="http://schemas.openxmlformats.org/officeDocument/2006/customXml" ds:itemID="{62A1E0A3-69E4-4961-AED3-A0D90BCD3E57}">
  <ds:schemaRefs/>
</ds:datastoreItem>
</file>

<file path=customXml/itemProps44.xml><?xml version="1.0" encoding="utf-8"?>
<ds:datastoreItem xmlns:ds="http://schemas.openxmlformats.org/officeDocument/2006/customXml" ds:itemID="{5A44B4CA-4A9D-49B8-A8AB-7A8561C9F53F}">
  <ds:schemaRefs/>
</ds:datastoreItem>
</file>

<file path=customXml/itemProps45.xml><?xml version="1.0" encoding="utf-8"?>
<ds:datastoreItem xmlns:ds="http://schemas.openxmlformats.org/officeDocument/2006/customXml" ds:itemID="{5A77132F-3A02-4EDC-9153-6E2FC4133FF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2026-07-21T12:06:47Z</dcterms:modified>
</cp:coreProperties>
</file>