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2720" windowHeight="6120" firstSheet="11" activeTab="13"/>
  </bookViews>
  <sheets>
    <sheet name="Cover" sheetId="1" r:id="rId1"/>
    <sheet name="Disclaimer" sheetId="2" r:id="rId2"/>
    <sheet name="Basic Information" sheetId="3" r:id="rId3"/>
    <sheet name="Discount" sheetId="4" r:id="rId4"/>
    <sheet name="Summary" sheetId="6" r:id="rId5"/>
    <sheet name="Statistics" sheetId="5" r:id="rId6"/>
    <sheet name="FIREWALL" sheetId="7" r:id="rId7"/>
    <sheet name="ROUTER" sheetId="8" r:id="rId8"/>
    <sheet name="SWITCH 48P" sheetId="9" r:id="rId9"/>
    <sheet name="STORAGE" sheetId="10" r:id="rId10"/>
    <sheet name="SERV-05" sheetId="11" r:id="rId11"/>
    <sheet name="SERV-04" sheetId="12" r:id="rId12"/>
    <sheet name="SERV-03" sheetId="13" r:id="rId13"/>
    <sheet name="SERV-02" sheetId="14" r:id="rId14"/>
    <sheet name="SERV-01" sheetId="15" r:id="rId15"/>
  </sheets>
  <definedNames>
    <definedName name="AGENTID" localSheetId="0">Cover!$A$5</definedName>
    <definedName name="_xlnm.Print_Area" localSheetId="0">Cover!$B$2:$E$15</definedName>
    <definedName name="_xlnm.Print_Area" localSheetId="6">FIREWALL!$C$2:$P$22</definedName>
    <definedName name="_xlnm.Print_Area" localSheetId="7">ROUTER!$C$2:$P$18</definedName>
    <definedName name="_xlnm.Print_Area" localSheetId="14">'SERV-01'!$C$2:$P$31</definedName>
    <definedName name="_xlnm.Print_Area" localSheetId="13">'SERV-02'!$C$2:$P$31</definedName>
    <definedName name="_xlnm.Print_Area" localSheetId="12">'SERV-03'!$C$2:$P$31</definedName>
    <definedName name="_xlnm.Print_Area" localSheetId="11">'SERV-04'!$C$2:$P$31</definedName>
    <definedName name="_xlnm.Print_Area" localSheetId="10">'SERV-05'!$C$2:$P$31</definedName>
    <definedName name="_xlnm.Print_Area" localSheetId="9">STORAGE!$C$2:$P$25</definedName>
    <definedName name="_xlnm.Print_Area" localSheetId="4">Summary!$C$2:$I$28</definedName>
    <definedName name="_xlnm.Print_Area" localSheetId="8">'SWITCH 48P'!$C$2:$P$18</definedName>
    <definedName name="bAuthPriceName" localSheetId="2">'Basic Information'!$D$18</definedName>
    <definedName name="bContractNo" localSheetId="2">'Basic Information'!$D$14</definedName>
    <definedName name="bCountry" localSheetId="2">'Basic Information'!$D$16</definedName>
    <definedName name="bCountryName" localSheetId="2">'Basic Information'!$C$16</definedName>
    <definedName name="BOQ_FLAG" localSheetId="0">Cover!$A$1</definedName>
    <definedName name="bPartnerName" localSheetId="2">'Basic Information'!$D$17</definedName>
    <definedName name="bPoNo" localSheetId="2">'Basic Information'!$D$15</definedName>
    <definedName name="bPriceBookName" localSheetId="2">'Basic Information'!$D$10</definedName>
    <definedName name="bPriceId" localSheetId="2">'Basic Information'!$D$11</definedName>
    <definedName name="bProposalNo" localSheetId="2">'Basic Information'!$D$13</definedName>
    <definedName name="bUserId" localSheetId="2">'Basic Information'!$D$12</definedName>
    <definedName name="CFGAREA" localSheetId="3">Discount!$C$10:$G$10</definedName>
    <definedName name="CFGAREA" localSheetId="6">FIREWALL!$C$9:$P$22</definedName>
    <definedName name="CFGAREA" localSheetId="7">ROUTER!$C$9:$P$18</definedName>
    <definedName name="CFGAREA" localSheetId="14">'SERV-01'!$C$9:$P$31</definedName>
    <definedName name="CFGAREA" localSheetId="13">'SERV-02'!$C$9:$P$31</definedName>
    <definedName name="CFGAREA" localSheetId="12">'SERV-03'!$C$9:$P$31</definedName>
    <definedName name="CFGAREA" localSheetId="11">'SERV-04'!$C$9:$P$31</definedName>
    <definedName name="CFGAREA" localSheetId="10">'SERV-05'!$C$9:$P$31</definedName>
    <definedName name="CFGAREA" localSheetId="5">Statistics!$C$9:$K$10</definedName>
    <definedName name="CFGAREA" localSheetId="9">STORAGE!$C$9:$P$25</definedName>
    <definedName name="CFGAREA" localSheetId="4">Summary!$C$9:$I$28</definedName>
    <definedName name="CFGAREA" localSheetId="8">'SWITCH 48P'!$C$9:$P$18</definedName>
    <definedName name="CFGAREA1" localSheetId="3">Discount!$C$19:$G$19</definedName>
    <definedName name="CFGAREA2" localSheetId="3">Discount!$C$32:$K$32</definedName>
    <definedName name="ColumnHeader" localSheetId="6">""</definedName>
    <definedName name="ColumnHeader" localSheetId="7">""</definedName>
    <definedName name="ColumnHeader" localSheetId="14">""</definedName>
    <definedName name="ColumnHeader" localSheetId="13">""</definedName>
    <definedName name="ColumnHeader" localSheetId="12">""</definedName>
    <definedName name="ColumnHeader" localSheetId="11">""</definedName>
    <definedName name="ColumnHeader" localSheetId="10">""</definedName>
    <definedName name="ColumnHeader" localSheetId="9">""</definedName>
    <definedName name="ColumnHeader" localSheetId="8">""</definedName>
    <definedName name="COMPANYNAME" localSheetId="0">Cover!$C$14</definedName>
    <definedName name="CREATE_DATE" localSheetId="0">Cover!$C$15</definedName>
    <definedName name="FixedRowHeightColumn" localSheetId="9">"19"</definedName>
    <definedName name="HasColumnHeader" localSheetId="6">"0"</definedName>
    <definedName name="HasColumnHeader" localSheetId="7">"0"</definedName>
    <definedName name="HasColumnHeader" localSheetId="14">"0"</definedName>
    <definedName name="HasColumnHeader" localSheetId="13">"0"</definedName>
    <definedName name="HasColumnHeader" localSheetId="12">"0"</definedName>
    <definedName name="HasColumnHeader" localSheetId="11">"0"</definedName>
    <definedName name="HasColumnHeader" localSheetId="10">"0"</definedName>
    <definedName name="HasColumnHeader" localSheetId="9">"0"</definedName>
    <definedName name="HasColumnHeader" localSheetId="8">"0"</definedName>
    <definedName name="L3PRODUCTCODE" localSheetId="6">""</definedName>
    <definedName name="L3PRODUCTCODE" localSheetId="7">""</definedName>
    <definedName name="L3PRODUCTCODE" localSheetId="14">""</definedName>
    <definedName name="L3PRODUCTCODE" localSheetId="13">""</definedName>
    <definedName name="L3PRODUCTCODE" localSheetId="12">""</definedName>
    <definedName name="L3PRODUCTCODE" localSheetId="11">""</definedName>
    <definedName name="L3PRODUCTCODE" localSheetId="10">""</definedName>
    <definedName name="L3PRODUCTCODE" localSheetId="9">""</definedName>
    <definedName name="L3PRODUCTCODE" localSheetId="8">""</definedName>
    <definedName name="PHUAWEIHSW1">Discount!$F$21</definedName>
    <definedName name="PHUAWEIHW1">Discount!$F$20</definedName>
    <definedName name="PHUAWEISERVICE1">Discount!$F$27</definedName>
    <definedName name="PHUAWEISW1">Discount!$F$22</definedName>
    <definedName name="PLOCALOUTSOURCING1">Discount!$F$25</definedName>
    <definedName name="PLOCALSERVICE1">Discount!$F$26</definedName>
    <definedName name="PLSSERVICE1">Discount!$F$29</definedName>
    <definedName name="POUTSOURINGHW1">Discount!$F$23</definedName>
    <definedName name="POUTSOURINGSW1">Discount!$F$24</definedName>
    <definedName name="PRICEID" localSheetId="0">Cover!$A$3</definedName>
    <definedName name="ProductDiscount" localSheetId="3">Discount!$C$32:$K$55</definedName>
    <definedName name="PROJECTCODE" localSheetId="0">Cover!$J$2</definedName>
    <definedName name="PROJECTNAME" localSheetId="0">Cover!$C$6</definedName>
    <definedName name="PVIRTUALTRADECATEGORY1">Discount!$F$28</definedName>
    <definedName name="QF_SYS_CURRENCY1">Discount!$F$11</definedName>
    <definedName name="QF_SYS_DESTINATION1">Discount!$F$16</definedName>
    <definedName name="QF_SYS_EXCHANGE1">Discount!$F$13</definedName>
    <definedName name="QF_SYS_LISTPRICECURRENCY">Discount!$F$12</definedName>
    <definedName name="QF_SYS_TRADETERMDESC1">Discount!$F$14</definedName>
    <definedName name="QF_SYS_VALIDITY_DATE" localSheetId="1">"2017-02-28"</definedName>
    <definedName name="QUOTATIONBY" localSheetId="0">Cover!$B$7</definedName>
    <definedName name="QUOTATIONNO" localSheetId="0">Cover!$J$3</definedName>
    <definedName name="QuoteType">Discount!$F$15</definedName>
    <definedName name="SheetByID" localSheetId="2">"None"</definedName>
    <definedName name="SheetByID" localSheetId="0">"None"</definedName>
    <definedName name="SheetByID" localSheetId="1">"None"</definedName>
    <definedName name="SheetByID" localSheetId="3">"None"</definedName>
    <definedName name="SheetByID" localSheetId="6">"509594414"</definedName>
    <definedName name="SheetByID" localSheetId="7">"1375519378"</definedName>
    <definedName name="SheetByID" localSheetId="14">"1443048704"</definedName>
    <definedName name="SheetByID" localSheetId="13">"1443048726"</definedName>
    <definedName name="SheetByID" localSheetId="12">"1443048727"</definedName>
    <definedName name="SheetByID" localSheetId="11">"1443048728"</definedName>
    <definedName name="SheetByID" localSheetId="10">"1443048729"</definedName>
    <definedName name="SheetByID" localSheetId="5">"None"</definedName>
    <definedName name="SheetByID" localSheetId="9">"-967403217"</definedName>
    <definedName name="SheetByID" localSheetId="4">"None"</definedName>
    <definedName name="SheetByID" localSheetId="8">"-1563628541"</definedName>
    <definedName name="SheetByName" localSheetId="2">"None"</definedName>
    <definedName name="SheetByName" localSheetId="0">"None"</definedName>
    <definedName name="SheetByName" localSheetId="1">"None"</definedName>
    <definedName name="SheetByName" localSheetId="3">"None"</definedName>
    <definedName name="SheetByName" localSheetId="6">"locationid"</definedName>
    <definedName name="SheetByName" localSheetId="7">"locationid"</definedName>
    <definedName name="SheetByName" localSheetId="14">"locationid"</definedName>
    <definedName name="SheetByName" localSheetId="13">"locationid"</definedName>
    <definedName name="SheetByName" localSheetId="12">"locationid"</definedName>
    <definedName name="SheetByName" localSheetId="11">"locationid"</definedName>
    <definedName name="SheetByName" localSheetId="10">"locationid"</definedName>
    <definedName name="SheetByName" localSheetId="5">"None"</definedName>
    <definedName name="SheetByName" localSheetId="9">"locationid"</definedName>
    <definedName name="SheetByName" localSheetId="4">"None"</definedName>
    <definedName name="SheetByName" localSheetId="8">"locationid"</definedName>
    <definedName name="SheetName" localSheetId="2">"Basic Information"</definedName>
    <definedName name="SheetName" localSheetId="0">"Cover"</definedName>
    <definedName name="SheetName" localSheetId="1">"Disclaimer"</definedName>
    <definedName name="SheetName" localSheetId="3">"Discount"</definedName>
    <definedName name="SheetName" localSheetId="6">"FIREWALL"</definedName>
    <definedName name="SheetName" localSheetId="7">"ROUTER"</definedName>
    <definedName name="SheetName" localSheetId="14">"SERV-01"</definedName>
    <definedName name="SheetName" localSheetId="13">"SERV-02"</definedName>
    <definedName name="SheetName" localSheetId="12">"SERV-03"</definedName>
    <definedName name="SheetName" localSheetId="11">"SERV-04"</definedName>
    <definedName name="SheetName" localSheetId="10">"SERV-05"</definedName>
    <definedName name="SheetName" localSheetId="5">"Statistics"</definedName>
    <definedName name="SheetName" localSheetId="9">"STORAGE"</definedName>
    <definedName name="SheetName" localSheetId="4">"Summary"</definedName>
    <definedName name="SheetName" localSheetId="8">"SWITCH 48P"</definedName>
    <definedName name="SheetType" localSheetId="2">"100001"</definedName>
    <definedName name="SheetType" localSheetId="0">"100001"</definedName>
    <definedName name="SheetType" localSheetId="1">"100002"</definedName>
    <definedName name="SheetType" localSheetId="3">"1000012"</definedName>
    <definedName name="SheetType" localSheetId="6">"0"</definedName>
    <definedName name="SheetType" localSheetId="7">"0"</definedName>
    <definedName name="SheetType" localSheetId="14">"0"</definedName>
    <definedName name="SheetType" localSheetId="13">"0"</definedName>
    <definedName name="SheetType" localSheetId="12">"0"</definedName>
    <definedName name="SheetType" localSheetId="11">"0"</definedName>
    <definedName name="SheetType" localSheetId="10">"0"</definedName>
    <definedName name="SheetType" localSheetId="5">"None"</definedName>
    <definedName name="SheetType" localSheetId="9">"0"</definedName>
    <definedName name="SheetType" localSheetId="4">"100003"</definedName>
    <definedName name="SheetType" localSheetId="8">"0"</definedName>
    <definedName name="statistics" localSheetId="5">Statistics!$C$10:$K$20</definedName>
    <definedName name="_xlnm.Print_Titles" localSheetId="6">FIREWALL!$B:$F,FIREWALL!$2:$9</definedName>
    <definedName name="_xlnm.Print_Titles" localSheetId="7">ROUTER!$B:$F,ROUTER!$2:$9</definedName>
    <definedName name="_xlnm.Print_Titles" localSheetId="14">'SERV-01'!$B:$F,'SERV-01'!$2:$9</definedName>
    <definedName name="_xlnm.Print_Titles" localSheetId="13">'SERV-02'!$B:$F,'SERV-02'!$2:$9</definedName>
    <definedName name="_xlnm.Print_Titles" localSheetId="12">'SERV-03'!$B:$F,'SERV-03'!$2:$9</definedName>
    <definedName name="_xlnm.Print_Titles" localSheetId="11">'SERV-04'!$B:$F,'SERV-04'!$2:$9</definedName>
    <definedName name="_xlnm.Print_Titles" localSheetId="10">'SERV-05'!$B:$F,'SERV-05'!$2:$9</definedName>
    <definedName name="_xlnm.Print_Titles" localSheetId="9">STORAGE!$B:$F,STORAGE!$2:$9</definedName>
    <definedName name="_xlnm.Print_Titles" localSheetId="4">Summary!$B:$E,Summary!$2:$9</definedName>
    <definedName name="_xlnm.Print_Titles" localSheetId="8">'SWITCH 48P'!$B:$F,'SWITCH 48P'!$2:$9</definedName>
    <definedName name="TradeCoefficient" localSheetId="3">Discount!$C$19:$G$29</definedName>
    <definedName name="TradeTerm" localSheetId="3">Discount!$C$10:$G$16</definedName>
    <definedName name="USERID" localSheetId="0">Cover!$A$4</definedName>
    <definedName name="VALID_AREA" localSheetId="2">'Basic Information'!$A$1:$E$23</definedName>
    <definedName name="VALID_AREA" localSheetId="0">Cover!$A$1:$F$16</definedName>
    <definedName name="VALID_AREA" localSheetId="1">Disclaimer!$A$1:$C$19</definedName>
  </definedNames>
  <calcPr calcId="152511" iterate="1" concurrentCalc="0"/>
</workbook>
</file>

<file path=xl/calcChain.xml><?xml version="1.0" encoding="utf-8"?>
<calcChain xmlns="http://schemas.openxmlformats.org/spreadsheetml/2006/main">
  <c r="F55" i="4" l="1"/>
  <c r="N31" i="15"/>
  <c r="H31" i="15"/>
  <c r="O31" i="15"/>
  <c r="M31" i="15"/>
  <c r="L31" i="15"/>
  <c r="K31" i="15"/>
  <c r="J31" i="15"/>
  <c r="O30" i="15"/>
  <c r="J30" i="15"/>
  <c r="F54" i="4"/>
  <c r="N29" i="15"/>
  <c r="H29" i="15"/>
  <c r="O29" i="15"/>
  <c r="M29" i="15"/>
  <c r="L29" i="15"/>
  <c r="K29" i="15"/>
  <c r="J29" i="15"/>
  <c r="O28" i="15"/>
  <c r="J28" i="15"/>
  <c r="O27" i="15"/>
  <c r="J27" i="15"/>
  <c r="N26" i="15"/>
  <c r="H26" i="15"/>
  <c r="O26" i="15"/>
  <c r="M26" i="15"/>
  <c r="L26" i="15"/>
  <c r="K26" i="15"/>
  <c r="J26" i="15"/>
  <c r="O25" i="15"/>
  <c r="J25" i="15"/>
  <c r="F53" i="4"/>
  <c r="N24" i="15"/>
  <c r="H24" i="15"/>
  <c r="O24" i="15"/>
  <c r="M24" i="15"/>
  <c r="L24" i="15"/>
  <c r="K24" i="15"/>
  <c r="J24" i="15"/>
  <c r="O23" i="15"/>
  <c r="J23" i="15"/>
  <c r="N22" i="15"/>
  <c r="H22" i="15"/>
  <c r="O22" i="15"/>
  <c r="M22" i="15"/>
  <c r="L22" i="15"/>
  <c r="K22" i="15"/>
  <c r="J22" i="15"/>
  <c r="O21" i="15"/>
  <c r="J21" i="15"/>
  <c r="N20" i="15"/>
  <c r="H20" i="15"/>
  <c r="O20" i="15"/>
  <c r="M20" i="15"/>
  <c r="L20" i="15"/>
  <c r="K20" i="15"/>
  <c r="J20" i="15"/>
  <c r="O19" i="15"/>
  <c r="J19" i="15"/>
  <c r="N18" i="15"/>
  <c r="H18" i="15"/>
  <c r="O18" i="15"/>
  <c r="M18" i="15"/>
  <c r="L18" i="15"/>
  <c r="K18" i="15"/>
  <c r="J18" i="15"/>
  <c r="O17" i="15"/>
  <c r="J17" i="15"/>
  <c r="N16" i="15"/>
  <c r="H16" i="15"/>
  <c r="O16" i="15"/>
  <c r="M16" i="15"/>
  <c r="L16" i="15"/>
  <c r="K16" i="15"/>
  <c r="J16" i="15"/>
  <c r="N15" i="15"/>
  <c r="H15" i="15"/>
  <c r="O15" i="15"/>
  <c r="M15" i="15"/>
  <c r="L15" i="15"/>
  <c r="K15" i="15"/>
  <c r="J15" i="15"/>
  <c r="N14" i="15"/>
  <c r="H14" i="15"/>
  <c r="O14" i="15"/>
  <c r="M14" i="15"/>
  <c r="L14" i="15"/>
  <c r="K14" i="15"/>
  <c r="J14" i="15"/>
  <c r="N13" i="15"/>
  <c r="H13" i="15"/>
  <c r="O13" i="15"/>
  <c r="M13" i="15"/>
  <c r="L13" i="15"/>
  <c r="K13" i="15"/>
  <c r="J13" i="15"/>
  <c r="O12" i="15"/>
  <c r="J12" i="15"/>
  <c r="O11" i="15"/>
  <c r="N11" i="15"/>
  <c r="J11" i="15"/>
  <c r="I11" i="15"/>
  <c r="O9" i="15"/>
  <c r="N9" i="15"/>
  <c r="J9" i="15"/>
  <c r="I9" i="15"/>
  <c r="N31" i="14"/>
  <c r="H31" i="14"/>
  <c r="O31" i="14"/>
  <c r="M31" i="14"/>
  <c r="L31" i="14"/>
  <c r="K31" i="14"/>
  <c r="J31" i="14"/>
  <c r="O30" i="14"/>
  <c r="J30" i="14"/>
  <c r="N29" i="14"/>
  <c r="H29" i="14"/>
  <c r="O29" i="14"/>
  <c r="M29" i="14"/>
  <c r="L29" i="14"/>
  <c r="K29" i="14"/>
  <c r="J29" i="14"/>
  <c r="O28" i="14"/>
  <c r="J28" i="14"/>
  <c r="O27" i="14"/>
  <c r="J27" i="14"/>
  <c r="N26" i="14"/>
  <c r="H26" i="14"/>
  <c r="O26" i="14"/>
  <c r="M26" i="14"/>
  <c r="L26" i="14"/>
  <c r="K26" i="14"/>
  <c r="J26" i="14"/>
  <c r="O25" i="14"/>
  <c r="J25" i="14"/>
  <c r="N24" i="14"/>
  <c r="H24" i="14"/>
  <c r="O24" i="14"/>
  <c r="M24" i="14"/>
  <c r="L24" i="14"/>
  <c r="K24" i="14"/>
  <c r="J24" i="14"/>
  <c r="O23" i="14"/>
  <c r="J23" i="14"/>
  <c r="N22" i="14"/>
  <c r="H22" i="14"/>
  <c r="O22" i="14"/>
  <c r="M22" i="14"/>
  <c r="L22" i="14"/>
  <c r="K22" i="14"/>
  <c r="J22" i="14"/>
  <c r="O21" i="14"/>
  <c r="J21" i="14"/>
  <c r="N20" i="14"/>
  <c r="H20" i="14"/>
  <c r="O20" i="14"/>
  <c r="M20" i="14"/>
  <c r="L20" i="14"/>
  <c r="K20" i="14"/>
  <c r="J20" i="14"/>
  <c r="O19" i="14"/>
  <c r="J19" i="14"/>
  <c r="N18" i="14"/>
  <c r="H18" i="14"/>
  <c r="O18" i="14"/>
  <c r="M18" i="14"/>
  <c r="L18" i="14"/>
  <c r="K18" i="14"/>
  <c r="J18" i="14"/>
  <c r="O17" i="14"/>
  <c r="J17" i="14"/>
  <c r="N16" i="14"/>
  <c r="H16" i="14"/>
  <c r="O16" i="14"/>
  <c r="M16" i="14"/>
  <c r="L16" i="14"/>
  <c r="K16" i="14"/>
  <c r="J16" i="14"/>
  <c r="N15" i="14"/>
  <c r="H15" i="14"/>
  <c r="O15" i="14"/>
  <c r="M15" i="14"/>
  <c r="L15" i="14"/>
  <c r="K15" i="14"/>
  <c r="J15" i="14"/>
  <c r="N14" i="14"/>
  <c r="H14" i="14"/>
  <c r="O14" i="14"/>
  <c r="M14" i="14"/>
  <c r="L14" i="14"/>
  <c r="K14" i="14"/>
  <c r="J14" i="14"/>
  <c r="N13" i="14"/>
  <c r="H13" i="14"/>
  <c r="O13" i="14"/>
  <c r="M13" i="14"/>
  <c r="L13" i="14"/>
  <c r="K13" i="14"/>
  <c r="J13" i="14"/>
  <c r="O12" i="14"/>
  <c r="J12" i="14"/>
  <c r="O11" i="14"/>
  <c r="N11" i="14"/>
  <c r="J11" i="14"/>
  <c r="I11" i="14"/>
  <c r="O9" i="14"/>
  <c r="N9" i="14"/>
  <c r="J9" i="14"/>
  <c r="I9" i="14"/>
  <c r="N31" i="13"/>
  <c r="H31" i="13"/>
  <c r="O31" i="13"/>
  <c r="M31" i="13"/>
  <c r="L31" i="13"/>
  <c r="K31" i="13"/>
  <c r="J31" i="13"/>
  <c r="O30" i="13"/>
  <c r="J30" i="13"/>
  <c r="N29" i="13"/>
  <c r="H29" i="13"/>
  <c r="O29" i="13"/>
  <c r="M29" i="13"/>
  <c r="L29" i="13"/>
  <c r="K29" i="13"/>
  <c r="J29" i="13"/>
  <c r="O28" i="13"/>
  <c r="J28" i="13"/>
  <c r="O27" i="13"/>
  <c r="J27" i="13"/>
  <c r="N26" i="13"/>
  <c r="H26" i="13"/>
  <c r="O26" i="13"/>
  <c r="M26" i="13"/>
  <c r="L26" i="13"/>
  <c r="K26" i="13"/>
  <c r="J26" i="13"/>
  <c r="O25" i="13"/>
  <c r="J25" i="13"/>
  <c r="N24" i="13"/>
  <c r="H24" i="13"/>
  <c r="O24" i="13"/>
  <c r="M24" i="13"/>
  <c r="L24" i="13"/>
  <c r="K24" i="13"/>
  <c r="J24" i="13"/>
  <c r="O23" i="13"/>
  <c r="J23" i="13"/>
  <c r="N22" i="13"/>
  <c r="H22" i="13"/>
  <c r="O22" i="13"/>
  <c r="M22" i="13"/>
  <c r="L22" i="13"/>
  <c r="K22" i="13"/>
  <c r="J22" i="13"/>
  <c r="O21" i="13"/>
  <c r="J21" i="13"/>
  <c r="N20" i="13"/>
  <c r="H20" i="13"/>
  <c r="O20" i="13"/>
  <c r="M20" i="13"/>
  <c r="L20" i="13"/>
  <c r="K20" i="13"/>
  <c r="J20" i="13"/>
  <c r="O19" i="13"/>
  <c r="J19" i="13"/>
  <c r="N18" i="13"/>
  <c r="H18" i="13"/>
  <c r="O18" i="13"/>
  <c r="M18" i="13"/>
  <c r="L18" i="13"/>
  <c r="K18" i="13"/>
  <c r="J18" i="13"/>
  <c r="O17" i="13"/>
  <c r="J17" i="13"/>
  <c r="N16" i="13"/>
  <c r="H16" i="13"/>
  <c r="O16" i="13"/>
  <c r="M16" i="13"/>
  <c r="L16" i="13"/>
  <c r="K16" i="13"/>
  <c r="J16" i="13"/>
  <c r="N15" i="13"/>
  <c r="H15" i="13"/>
  <c r="O15" i="13"/>
  <c r="M15" i="13"/>
  <c r="L15" i="13"/>
  <c r="K15" i="13"/>
  <c r="J15" i="13"/>
  <c r="N14" i="13"/>
  <c r="H14" i="13"/>
  <c r="O14" i="13"/>
  <c r="M14" i="13"/>
  <c r="L14" i="13"/>
  <c r="K14" i="13"/>
  <c r="J14" i="13"/>
  <c r="N13" i="13"/>
  <c r="H13" i="13"/>
  <c r="O13" i="13"/>
  <c r="M13" i="13"/>
  <c r="L13" i="13"/>
  <c r="K13" i="13"/>
  <c r="J13" i="13"/>
  <c r="O12" i="13"/>
  <c r="J12" i="13"/>
  <c r="O11" i="13"/>
  <c r="N11" i="13"/>
  <c r="J11" i="13"/>
  <c r="I11" i="13"/>
  <c r="O9" i="13"/>
  <c r="N9" i="13"/>
  <c r="J9" i="13"/>
  <c r="I9" i="13"/>
  <c r="N31" i="12"/>
  <c r="H31" i="12"/>
  <c r="O31" i="12"/>
  <c r="M31" i="12"/>
  <c r="L31" i="12"/>
  <c r="K31" i="12"/>
  <c r="J31" i="12"/>
  <c r="O30" i="12"/>
  <c r="J30" i="12"/>
  <c r="N29" i="12"/>
  <c r="H29" i="12"/>
  <c r="O29" i="12"/>
  <c r="M29" i="12"/>
  <c r="L29" i="12"/>
  <c r="K29" i="12"/>
  <c r="J29" i="12"/>
  <c r="O28" i="12"/>
  <c r="J28" i="12"/>
  <c r="O27" i="12"/>
  <c r="J27" i="12"/>
  <c r="N26" i="12"/>
  <c r="H26" i="12"/>
  <c r="O26" i="12"/>
  <c r="M26" i="12"/>
  <c r="L26" i="12"/>
  <c r="K26" i="12"/>
  <c r="J26" i="12"/>
  <c r="O25" i="12"/>
  <c r="J25" i="12"/>
  <c r="N24" i="12"/>
  <c r="H24" i="12"/>
  <c r="O24" i="12"/>
  <c r="M24" i="12"/>
  <c r="L24" i="12"/>
  <c r="K24" i="12"/>
  <c r="J24" i="12"/>
  <c r="O23" i="12"/>
  <c r="J23" i="12"/>
  <c r="N22" i="12"/>
  <c r="H22" i="12"/>
  <c r="O22" i="12"/>
  <c r="M22" i="12"/>
  <c r="L22" i="12"/>
  <c r="K22" i="12"/>
  <c r="J22" i="12"/>
  <c r="O21" i="12"/>
  <c r="J21" i="12"/>
  <c r="N20" i="12"/>
  <c r="H20" i="12"/>
  <c r="O20" i="12"/>
  <c r="M20" i="12"/>
  <c r="L20" i="12"/>
  <c r="K20" i="12"/>
  <c r="J20" i="12"/>
  <c r="O19" i="12"/>
  <c r="J19" i="12"/>
  <c r="N18" i="12"/>
  <c r="H18" i="12"/>
  <c r="O18" i="12"/>
  <c r="M18" i="12"/>
  <c r="L18" i="12"/>
  <c r="K18" i="12"/>
  <c r="J18" i="12"/>
  <c r="O17" i="12"/>
  <c r="J17" i="12"/>
  <c r="N16" i="12"/>
  <c r="H16" i="12"/>
  <c r="O16" i="12"/>
  <c r="M16" i="12"/>
  <c r="L16" i="12"/>
  <c r="K16" i="12"/>
  <c r="J16" i="12"/>
  <c r="N15" i="12"/>
  <c r="H15" i="12"/>
  <c r="O15" i="12"/>
  <c r="M15" i="12"/>
  <c r="L15" i="12"/>
  <c r="K15" i="12"/>
  <c r="J15" i="12"/>
  <c r="N14" i="12"/>
  <c r="H14" i="12"/>
  <c r="O14" i="12"/>
  <c r="M14" i="12"/>
  <c r="L14" i="12"/>
  <c r="K14" i="12"/>
  <c r="J14" i="12"/>
  <c r="N13" i="12"/>
  <c r="H13" i="12"/>
  <c r="O13" i="12"/>
  <c r="M13" i="12"/>
  <c r="L13" i="12"/>
  <c r="K13" i="12"/>
  <c r="J13" i="12"/>
  <c r="O12" i="12"/>
  <c r="J12" i="12"/>
  <c r="O11" i="12"/>
  <c r="N11" i="12"/>
  <c r="J11" i="12"/>
  <c r="I11" i="12"/>
  <c r="O9" i="12"/>
  <c r="N9" i="12"/>
  <c r="J9" i="12"/>
  <c r="I9" i="12"/>
  <c r="N31" i="11"/>
  <c r="H31" i="11"/>
  <c r="O31" i="11"/>
  <c r="M31" i="11"/>
  <c r="L31" i="11"/>
  <c r="K31" i="11"/>
  <c r="J31" i="11"/>
  <c r="O30" i="11"/>
  <c r="J30" i="11"/>
  <c r="N29" i="11"/>
  <c r="H29" i="11"/>
  <c r="O29" i="11"/>
  <c r="M29" i="11"/>
  <c r="L29" i="11"/>
  <c r="K29" i="11"/>
  <c r="J29" i="11"/>
  <c r="O28" i="11"/>
  <c r="J28" i="11"/>
  <c r="O27" i="11"/>
  <c r="J27" i="11"/>
  <c r="N26" i="11"/>
  <c r="H26" i="11"/>
  <c r="O26" i="11"/>
  <c r="M26" i="11"/>
  <c r="L26" i="11"/>
  <c r="K26" i="11"/>
  <c r="J26" i="11"/>
  <c r="O25" i="11"/>
  <c r="J25" i="11"/>
  <c r="N24" i="11"/>
  <c r="H24" i="11"/>
  <c r="O24" i="11"/>
  <c r="M24" i="11"/>
  <c r="L24" i="11"/>
  <c r="K24" i="11"/>
  <c r="J24" i="11"/>
  <c r="O23" i="11"/>
  <c r="J23" i="11"/>
  <c r="N22" i="11"/>
  <c r="H22" i="11"/>
  <c r="O22" i="11"/>
  <c r="M22" i="11"/>
  <c r="L22" i="11"/>
  <c r="K22" i="11"/>
  <c r="J22" i="11"/>
  <c r="O21" i="11"/>
  <c r="J21" i="11"/>
  <c r="N20" i="11"/>
  <c r="H20" i="11"/>
  <c r="O20" i="11"/>
  <c r="M20" i="11"/>
  <c r="L20" i="11"/>
  <c r="K20" i="11"/>
  <c r="J20" i="11"/>
  <c r="O19" i="11"/>
  <c r="J19" i="11"/>
  <c r="N18" i="11"/>
  <c r="H18" i="11"/>
  <c r="O18" i="11"/>
  <c r="M18" i="11"/>
  <c r="L18" i="11"/>
  <c r="K18" i="11"/>
  <c r="J18" i="11"/>
  <c r="O17" i="11"/>
  <c r="J17" i="11"/>
  <c r="N16" i="11"/>
  <c r="H16" i="11"/>
  <c r="O16" i="11"/>
  <c r="M16" i="11"/>
  <c r="L16" i="11"/>
  <c r="K16" i="11"/>
  <c r="J16" i="11"/>
  <c r="N15" i="11"/>
  <c r="H15" i="11"/>
  <c r="O15" i="11"/>
  <c r="M15" i="11"/>
  <c r="L15" i="11"/>
  <c r="K15" i="11"/>
  <c r="J15" i="11"/>
  <c r="N14" i="11"/>
  <c r="H14" i="11"/>
  <c r="O14" i="11"/>
  <c r="M14" i="11"/>
  <c r="L14" i="11"/>
  <c r="K14" i="11"/>
  <c r="J14" i="11"/>
  <c r="N13" i="11"/>
  <c r="H13" i="11"/>
  <c r="O13" i="11"/>
  <c r="M13" i="11"/>
  <c r="L13" i="11"/>
  <c r="K13" i="11"/>
  <c r="J13" i="11"/>
  <c r="O12" i="11"/>
  <c r="J12" i="11"/>
  <c r="O11" i="11"/>
  <c r="N11" i="11"/>
  <c r="J11" i="11"/>
  <c r="I11" i="11"/>
  <c r="O9" i="11"/>
  <c r="N9" i="11"/>
  <c r="J9" i="11"/>
  <c r="I9" i="11"/>
  <c r="F50" i="4"/>
  <c r="N25" i="10"/>
  <c r="H25" i="10"/>
  <c r="O25" i="10"/>
  <c r="M25" i="10"/>
  <c r="L25" i="10"/>
  <c r="K25" i="10"/>
  <c r="J25" i="10"/>
  <c r="F51" i="4"/>
  <c r="N24" i="10"/>
  <c r="H24" i="10"/>
  <c r="O24" i="10"/>
  <c r="M24" i="10"/>
  <c r="L24" i="10"/>
  <c r="K24" i="10"/>
  <c r="J24" i="10"/>
  <c r="O23" i="10"/>
  <c r="J23" i="10"/>
  <c r="F48" i="4"/>
  <c r="N22" i="10"/>
  <c r="H22" i="10"/>
  <c r="O22" i="10"/>
  <c r="M22" i="10"/>
  <c r="L22" i="10"/>
  <c r="K22" i="10"/>
  <c r="J22" i="10"/>
  <c r="O21" i="10"/>
  <c r="J21" i="10"/>
  <c r="O20" i="10"/>
  <c r="J20" i="10"/>
  <c r="F49" i="4"/>
  <c r="N19" i="10"/>
  <c r="H19" i="10"/>
  <c r="O19" i="10"/>
  <c r="M19" i="10"/>
  <c r="L19" i="10"/>
  <c r="K19" i="10"/>
  <c r="J19" i="10"/>
  <c r="O18" i="10"/>
  <c r="J18" i="10"/>
  <c r="F47" i="4"/>
  <c r="N17" i="10"/>
  <c r="H17" i="10"/>
  <c r="O17" i="10"/>
  <c r="M17" i="10"/>
  <c r="L17" i="10"/>
  <c r="K17" i="10"/>
  <c r="J17" i="10"/>
  <c r="O16" i="10"/>
  <c r="J16" i="10"/>
  <c r="N15" i="10"/>
  <c r="H15" i="10"/>
  <c r="O15" i="10"/>
  <c r="M15" i="10"/>
  <c r="L15" i="10"/>
  <c r="K15" i="10"/>
  <c r="J15" i="10"/>
  <c r="O14" i="10"/>
  <c r="J14" i="10"/>
  <c r="N13" i="10"/>
  <c r="H13" i="10"/>
  <c r="O13" i="10"/>
  <c r="M13" i="10"/>
  <c r="L13" i="10"/>
  <c r="K13" i="10"/>
  <c r="J13" i="10"/>
  <c r="O12" i="10"/>
  <c r="J12" i="10"/>
  <c r="O11" i="10"/>
  <c r="N11" i="10"/>
  <c r="J11" i="10"/>
  <c r="I11" i="10"/>
  <c r="O9" i="10"/>
  <c r="N9" i="10"/>
  <c r="J9" i="10"/>
  <c r="I9" i="10"/>
  <c r="F45" i="4"/>
  <c r="N18" i="9"/>
  <c r="H18" i="9"/>
  <c r="O18" i="9"/>
  <c r="M18" i="9"/>
  <c r="L18" i="9"/>
  <c r="K18" i="9"/>
  <c r="J18" i="9"/>
  <c r="O17" i="9"/>
  <c r="J17" i="9"/>
  <c r="F44" i="4"/>
  <c r="N16" i="9"/>
  <c r="H16" i="9"/>
  <c r="O16" i="9"/>
  <c r="M16" i="9"/>
  <c r="L16" i="9"/>
  <c r="K16" i="9"/>
  <c r="J16" i="9"/>
  <c r="O15" i="9"/>
  <c r="J15" i="9"/>
  <c r="F43" i="4"/>
  <c r="N14" i="9"/>
  <c r="H14" i="9"/>
  <c r="O14" i="9"/>
  <c r="M14" i="9"/>
  <c r="L14" i="9"/>
  <c r="K14" i="9"/>
  <c r="J14" i="9"/>
  <c r="O13" i="9"/>
  <c r="J13" i="9"/>
  <c r="O12" i="9"/>
  <c r="J12" i="9"/>
  <c r="O11" i="9"/>
  <c r="N11" i="9"/>
  <c r="J11" i="9"/>
  <c r="I11" i="9"/>
  <c r="O9" i="9"/>
  <c r="N9" i="9"/>
  <c r="J9" i="9"/>
  <c r="I9" i="9"/>
  <c r="F41" i="4"/>
  <c r="N18" i="8"/>
  <c r="H18" i="8"/>
  <c r="O18" i="8"/>
  <c r="M18" i="8"/>
  <c r="L18" i="8"/>
  <c r="K18" i="8"/>
  <c r="J18" i="8"/>
  <c r="O17" i="8"/>
  <c r="J17" i="8"/>
  <c r="F40" i="4"/>
  <c r="N16" i="8"/>
  <c r="H16" i="8"/>
  <c r="O16" i="8"/>
  <c r="M16" i="8"/>
  <c r="L16" i="8"/>
  <c r="K16" i="8"/>
  <c r="J16" i="8"/>
  <c r="O15" i="8"/>
  <c r="J15" i="8"/>
  <c r="O14" i="8"/>
  <c r="J14" i="8"/>
  <c r="F39" i="4"/>
  <c r="N13" i="8"/>
  <c r="H13" i="8"/>
  <c r="O13" i="8"/>
  <c r="M13" i="8"/>
  <c r="L13" i="8"/>
  <c r="K13" i="8"/>
  <c r="J13" i="8"/>
  <c r="O12" i="8"/>
  <c r="J12" i="8"/>
  <c r="O11" i="8"/>
  <c r="N11" i="8"/>
  <c r="J11" i="8"/>
  <c r="I11" i="8"/>
  <c r="O9" i="8"/>
  <c r="N9" i="8"/>
  <c r="J9" i="8"/>
  <c r="I9" i="8"/>
  <c r="F37" i="4"/>
  <c r="N22" i="7"/>
  <c r="H22" i="7"/>
  <c r="O22" i="7"/>
  <c r="M22" i="7"/>
  <c r="L22" i="7"/>
  <c r="K22" i="7"/>
  <c r="J22" i="7"/>
  <c r="O21" i="7"/>
  <c r="J21" i="7"/>
  <c r="F36" i="4"/>
  <c r="N20" i="7"/>
  <c r="H20" i="7"/>
  <c r="O20" i="7"/>
  <c r="M20" i="7"/>
  <c r="L20" i="7"/>
  <c r="K20" i="7"/>
  <c r="J20" i="7"/>
  <c r="O19" i="7"/>
  <c r="J19" i="7"/>
  <c r="N18" i="7"/>
  <c r="H18" i="7"/>
  <c r="O18" i="7"/>
  <c r="M18" i="7"/>
  <c r="L18" i="7"/>
  <c r="K18" i="7"/>
  <c r="J18" i="7"/>
  <c r="O17" i="7"/>
  <c r="J17" i="7"/>
  <c r="N16" i="7"/>
  <c r="H16" i="7"/>
  <c r="O16" i="7"/>
  <c r="M16" i="7"/>
  <c r="L16" i="7"/>
  <c r="K16" i="7"/>
  <c r="J16" i="7"/>
  <c r="O15" i="7"/>
  <c r="J15" i="7"/>
  <c r="F35" i="4"/>
  <c r="N14" i="7"/>
  <c r="H14" i="7"/>
  <c r="O14" i="7"/>
  <c r="M14" i="7"/>
  <c r="L14" i="7"/>
  <c r="K14" i="7"/>
  <c r="J14" i="7"/>
  <c r="O13" i="7"/>
  <c r="J13" i="7"/>
  <c r="O12" i="7"/>
  <c r="J12" i="7"/>
  <c r="O11" i="7"/>
  <c r="N11" i="7"/>
  <c r="J11" i="7"/>
  <c r="I11" i="7"/>
  <c r="O9" i="7"/>
  <c r="N9" i="7"/>
  <c r="J9" i="7"/>
  <c r="I9" i="7"/>
  <c r="K20" i="5"/>
  <c r="J20" i="5"/>
  <c r="I20" i="5"/>
  <c r="H20" i="5"/>
  <c r="G20" i="5"/>
  <c r="F20" i="5"/>
  <c r="E20" i="5"/>
  <c r="I11" i="6"/>
  <c r="I10" i="6"/>
  <c r="I13" i="6"/>
  <c r="I12" i="6"/>
  <c r="I15" i="6"/>
  <c r="I14" i="6"/>
  <c r="I17" i="6"/>
  <c r="I16" i="6"/>
  <c r="I19" i="6"/>
  <c r="I18" i="6"/>
  <c r="I21" i="6"/>
  <c r="I20" i="6"/>
  <c r="I23" i="6"/>
  <c r="I22" i="6"/>
  <c r="I25" i="6"/>
  <c r="I24" i="6"/>
  <c r="I27" i="6"/>
  <c r="I26" i="6"/>
  <c r="I28" i="6"/>
  <c r="H11" i="6"/>
  <c r="H10" i="6"/>
  <c r="H13" i="6"/>
  <c r="H12" i="6"/>
  <c r="H15" i="6"/>
  <c r="H14" i="6"/>
  <c r="H17" i="6"/>
  <c r="H16" i="6"/>
  <c r="H19" i="6"/>
  <c r="H18" i="6"/>
  <c r="H21" i="6"/>
  <c r="H20" i="6"/>
  <c r="H23" i="6"/>
  <c r="H22" i="6"/>
  <c r="H25" i="6"/>
  <c r="H24" i="6"/>
  <c r="H27" i="6"/>
  <c r="H26" i="6"/>
  <c r="H28" i="6"/>
  <c r="G27" i="6"/>
  <c r="F27" i="6"/>
  <c r="G25" i="6"/>
  <c r="F25" i="6"/>
  <c r="G23" i="6"/>
  <c r="F23" i="6"/>
  <c r="G21" i="6"/>
  <c r="F21" i="6"/>
  <c r="G19" i="6"/>
  <c r="F19" i="6"/>
  <c r="G17" i="6"/>
  <c r="F17" i="6"/>
  <c r="G15" i="6"/>
  <c r="F15" i="6"/>
  <c r="G13" i="6"/>
  <c r="F13" i="6"/>
  <c r="G11" i="6"/>
  <c r="F11" i="6"/>
  <c r="I9" i="6"/>
  <c r="H9" i="6"/>
  <c r="G9" i="6"/>
  <c r="F9" i="6"/>
  <c r="J55" i="4"/>
  <c r="I55" i="4"/>
  <c r="H55" i="4"/>
  <c r="J54" i="4"/>
  <c r="I54" i="4"/>
  <c r="H54" i="4"/>
  <c r="J53" i="4"/>
  <c r="I53" i="4"/>
  <c r="H53" i="4"/>
  <c r="J52" i="4"/>
  <c r="H52" i="4"/>
  <c r="J51" i="4"/>
  <c r="I51" i="4"/>
  <c r="H51" i="4"/>
  <c r="J50" i="4"/>
  <c r="I50" i="4"/>
  <c r="H50" i="4"/>
  <c r="J49" i="4"/>
  <c r="I49" i="4"/>
  <c r="H49" i="4"/>
  <c r="J48" i="4"/>
  <c r="I48" i="4"/>
  <c r="H48" i="4"/>
  <c r="J47" i="4"/>
  <c r="I47" i="4"/>
  <c r="H47" i="4"/>
  <c r="J46" i="4"/>
  <c r="H46" i="4"/>
  <c r="J45" i="4"/>
  <c r="I45" i="4"/>
  <c r="H45" i="4"/>
  <c r="J44" i="4"/>
  <c r="I44" i="4"/>
  <c r="H44" i="4"/>
  <c r="J43" i="4"/>
  <c r="I43" i="4"/>
  <c r="H43" i="4"/>
  <c r="J42" i="4"/>
  <c r="H42" i="4"/>
  <c r="J41" i="4"/>
  <c r="I41" i="4"/>
  <c r="H41" i="4"/>
  <c r="J40" i="4"/>
  <c r="I40" i="4"/>
  <c r="H40" i="4"/>
  <c r="J39" i="4"/>
  <c r="I39" i="4"/>
  <c r="H39" i="4"/>
  <c r="J38" i="4"/>
  <c r="H38" i="4"/>
  <c r="J37" i="4"/>
  <c r="I37" i="4"/>
  <c r="H37" i="4"/>
  <c r="J36" i="4"/>
  <c r="I36" i="4"/>
  <c r="H36" i="4"/>
  <c r="J35" i="4"/>
  <c r="I35" i="4"/>
  <c r="H35" i="4"/>
  <c r="J34" i="4"/>
  <c r="H34" i="4"/>
  <c r="J33" i="4"/>
  <c r="H33" i="4"/>
  <c r="J32" i="4"/>
  <c r="H32" i="4"/>
  <c r="F19" i="4"/>
  <c r="C13" i="4"/>
  <c r="C8" i="2"/>
  <c r="B10" i="1"/>
  <c r="B8" i="1"/>
  <c r="B5" i="1"/>
</calcChain>
</file>

<file path=xl/sharedStrings.xml><?xml version="1.0" encoding="utf-8"?>
<sst xmlns="http://schemas.openxmlformats.org/spreadsheetml/2006/main" count="1087" uniqueCount="551">
  <si>
    <t>Trade Item</t>
  </si>
  <si>
    <t>Value</t>
  </si>
  <si>
    <t>Currency</t>
  </si>
  <si>
    <t>List Price Currency</t>
  </si>
  <si>
    <t>Trade Term</t>
  </si>
  <si>
    <t>Quote Type</t>
  </si>
  <si>
    <t>Shipping Port/Destination</t>
  </si>
  <si>
    <t>USD</t>
  </si>
  <si>
    <t>FCA</t>
  </si>
  <si>
    <t>Embedded</t>
  </si>
  <si>
    <t>Hongkong_China</t>
  </si>
  <si>
    <t>Trade Coefficient</t>
  </si>
  <si>
    <t>Huawei Hardware</t>
  </si>
  <si>
    <t>Huawei Hardware License</t>
  </si>
  <si>
    <t>Huawei Software</t>
  </si>
  <si>
    <t>Outsourcing Hardware</t>
  </si>
  <si>
    <t>Outsourcing Software</t>
  </si>
  <si>
    <t>Local Outsourcing</t>
  </si>
  <si>
    <t>Local subcontracting and Service</t>
  </si>
  <si>
    <t>Huawei Service</t>
  </si>
  <si>
    <t>Virtual Trade Category</t>
  </si>
  <si>
    <t>Training Service</t>
  </si>
  <si>
    <t>No.</t>
  </si>
  <si>
    <t>Product Name</t>
  </si>
  <si>
    <t>Discount</t>
  </si>
  <si>
    <t>Discount Off</t>
  </si>
  <si>
    <t>TOTAL PRICE</t>
  </si>
  <si>
    <t>USG6330 (V500R001)</t>
  </si>
  <si>
    <t>Hardware</t>
  </si>
  <si>
    <t>Outsourcing</t>
  </si>
  <si>
    <t>Technical Support Service（Secospace） - Co-care</t>
  </si>
  <si>
    <t>AR1220E</t>
  </si>
  <si>
    <t>Technical Support Service(Networking) - Co-care</t>
  </si>
  <si>
    <t>S5720-52X-PWR-SI-AC (V200R008)</t>
  </si>
  <si>
    <t>OceanStor 2200 V3 (V300R005)</t>
  </si>
  <si>
    <t>Main Equipment</t>
  </si>
  <si>
    <t>Software</t>
  </si>
  <si>
    <t>Technical Support Service(IT Software) - Hi-care</t>
  </si>
  <si>
    <t>Technical Support Service(Storage) - Co-care</t>
  </si>
  <si>
    <t>RH1288 V3</t>
  </si>
  <si>
    <t>Technical Support Service(Server) - Co-care</t>
  </si>
  <si>
    <t>Site</t>
  </si>
  <si>
    <t>Config Name</t>
  </si>
  <si>
    <t>Volume</t>
  </si>
  <si>
    <t>Net Volume
(m^3)</t>
  </si>
  <si>
    <t>Pack Volume
(m^3)</t>
  </si>
  <si>
    <t>Weight</t>
  </si>
  <si>
    <t>Net Weight
(kg)</t>
  </si>
  <si>
    <t>Pack Weight
(kg)</t>
  </si>
  <si>
    <t>Power Consumption</t>
  </si>
  <si>
    <t>Max Power Consumption
(W)</t>
  </si>
  <si>
    <t>Typical Power Consumption
(W)</t>
  </si>
  <si>
    <t>Min Power Consumption
(W)</t>
  </si>
  <si>
    <t>FIREWALL</t>
  </si>
  <si>
    <t>ROUTER</t>
  </si>
  <si>
    <t>SWITCH 48P</t>
  </si>
  <si>
    <t>STORAGE</t>
  </si>
  <si>
    <t>SERV-05</t>
  </si>
  <si>
    <t>SERV-04</t>
  </si>
  <si>
    <t>SERV-03</t>
  </si>
  <si>
    <t>SERV-02</t>
  </si>
  <si>
    <t>SERV-01</t>
  </si>
  <si>
    <t>USG6330</t>
  </si>
  <si>
    <t>S5720-52X-PWR-SI-AC</t>
  </si>
  <si>
    <t>OceanStor 2200 V3</t>
  </si>
  <si>
    <t>RH1288 V3_4</t>
  </si>
  <si>
    <t>RH1288 V3_3</t>
  </si>
  <si>
    <t>RH1288 V3_2</t>
  </si>
  <si>
    <t>RH1288 V3_1</t>
  </si>
  <si>
    <t>Total</t>
  </si>
  <si>
    <t>Qty.</t>
  </si>
  <si>
    <t>Part Number</t>
  </si>
  <si>
    <t>Model</t>
  </si>
  <si>
    <t>Description</t>
  </si>
  <si>
    <t>Unit Qty.</t>
  </si>
  <si>
    <t>Discount Category</t>
  </si>
  <si>
    <t/>
  </si>
  <si>
    <t>USG6330&amp;USG6350&amp;USG6360&amp;USG6530</t>
  </si>
  <si>
    <t>Basic Configuration</t>
  </si>
  <si>
    <t>02358825</t>
  </si>
  <si>
    <t>Harddisk</t>
  </si>
  <si>
    <t>02358140</t>
  </si>
  <si>
    <t>Power Module</t>
  </si>
  <si>
    <t>02131122</t>
  </si>
  <si>
    <t>Installation Material</t>
  </si>
  <si>
    <t>21242247</t>
  </si>
  <si>
    <t>Technical Support Service</t>
  </si>
  <si>
    <t>88134UGQ</t>
  </si>
  <si>
    <t>USG6330-BDL-AC</t>
  </si>
  <si>
    <t>SM-HDD-SAS300G-B</t>
  </si>
  <si>
    <t>Power-AC-B</t>
  </si>
  <si>
    <t>RAIL-02</t>
  </si>
  <si>
    <t>02358825-88134UGQ-12</t>
  </si>
  <si>
    <t>USG6330 AC Host(4GE(RJ45)+2GE Combo,4GB Memory,1 AC Power,with IPS-AV-URL Function Group Update Service Subscribe 12 Months)</t>
  </si>
  <si>
    <t>300GB 10K RPM SAS Hard Disk for 1U rack Gateway</t>
  </si>
  <si>
    <t>170W AC power module</t>
  </si>
  <si>
    <t>Extension Guide Rail</t>
  </si>
  <si>
    <t>USG6330-BDL-AC-Co-Care Standard 9x5xNBD Service-12Month(s)</t>
  </si>
  <si>
    <t>AR1200 Series Enterprise Routers</t>
  </si>
  <si>
    <t>02350DQJ</t>
  </si>
  <si>
    <t>Cable</t>
  </si>
  <si>
    <t>02311CKR</t>
  </si>
  <si>
    <t>RJ45-DB9-3M</t>
  </si>
  <si>
    <t>02350DQJ-88134UGQ-12</t>
  </si>
  <si>
    <t>AR1220E,2GE COMBO,8GE LAN,2 USB,2 SIC</t>
  </si>
  <si>
    <t>RJ45-to-DB9,Adapter Console Cable,3m</t>
  </si>
  <si>
    <t>AR1220E,2GE COMBO,8GE LAN,2 USB,2 SIC-Co-Care Standard 9x5xNBD Service-12Month(s)</t>
  </si>
  <si>
    <t>S5700 Series Ethernet Switches</t>
  </si>
  <si>
    <t>Mainframe</t>
  </si>
  <si>
    <t>S57 SI Series Mainframe</t>
  </si>
  <si>
    <t>02350DLX</t>
  </si>
  <si>
    <t>Power</t>
  </si>
  <si>
    <t>02311BXV</t>
  </si>
  <si>
    <t>PAC-500WA-BE</t>
  </si>
  <si>
    <t>02350DLX-88134UGQ-12</t>
  </si>
  <si>
    <t>S5720-52X-PWR-SI Bundle(48 Ethernet 10/100/1000  PoE+ ports,4 10 Gig SFP+,with 500W AC power)</t>
  </si>
  <si>
    <t>500W AC PoE Power Module(Black, Power panel side exhaust)</t>
  </si>
  <si>
    <t>S5720-52X-PWR-SI bundle-Co-Care Standard 9x5xNBD Service-12Month(s)</t>
  </si>
  <si>
    <t>Controller Enclosure</t>
  </si>
  <si>
    <t>02350SHW</t>
  </si>
  <si>
    <t>Expanding Interface Module</t>
  </si>
  <si>
    <t>03057208</t>
  </si>
  <si>
    <t>Disk Components</t>
  </si>
  <si>
    <t>02350SNM</t>
  </si>
  <si>
    <t>14130858</t>
  </si>
  <si>
    <t>System Software</t>
  </si>
  <si>
    <t>Basic Software License for Block(Include Device Management,HyperSnap,HyperCopy,SmartThin,SmartMotion,SmartErase,SmartConfig,SystemReporter,Ultrapath)</t>
  </si>
  <si>
    <t>88033NHX</t>
  </si>
  <si>
    <t>88134UHK</t>
  </si>
  <si>
    <t>22V3-L-2C16G</t>
  </si>
  <si>
    <t>V3L-SMARTIO8FC</t>
  </si>
  <si>
    <t>22V3-L-NLSAS4T</t>
  </si>
  <si>
    <t>SN2F01FCPC</t>
  </si>
  <si>
    <t>LIC-22V3-BS</t>
  </si>
  <si>
    <t>02350SHW-88134UGQ-36</t>
  </si>
  <si>
    <t>88033NHX-88134UHK-36</t>
  </si>
  <si>
    <t>2200 V3(2U,Dual Ctrl,AC,16GB,2*6*GE,12*3.5",SPE23C0212)</t>
  </si>
  <si>
    <t>4 port SmartIO I/O module(SFP+,8Gb FC)</t>
  </si>
  <si>
    <t>4TB 7.2K RPM NL SAS Disk Unit(3.5")</t>
  </si>
  <si>
    <t>Patch Cord,DLC/PC,DLC/PC,Multi-mode,3m,A1a.2,2mm,42mm DLC,OM3 bending insensitive</t>
  </si>
  <si>
    <t>2200 V3(2U,Dual Ctrl,AC,16GB,2*6*GE,12*3.5",SPE23C0212)-Co-Care Standard 9x5xNBD Service-36Month(s)</t>
  </si>
  <si>
    <t>Basic Software License for Block(Include Device Management,HyperSnap,HyperCopy,SmartThin,SmartMotion,SmartErase,SmartConfig,SystemReporter,Ultrapath)-Hi-Care Application Software Upgrade Support Service-36Month(s)</t>
  </si>
  <si>
    <t>Base Configuration</t>
  </si>
  <si>
    <t>02311GGN</t>
  </si>
  <si>
    <t>02310YKB</t>
  </si>
  <si>
    <t>02311AFN</t>
  </si>
  <si>
    <t>02131042</t>
  </si>
  <si>
    <t>Haswell EP CPU</t>
  </si>
  <si>
    <t>02311CQC</t>
  </si>
  <si>
    <t>DDR4 Memory</t>
  </si>
  <si>
    <t>06200190</t>
  </si>
  <si>
    <t>Hard Disk(include Front Panel)</t>
  </si>
  <si>
    <t>02310YCH</t>
  </si>
  <si>
    <t>RAID Card and Other Accessories</t>
  </si>
  <si>
    <t>02311JDX</t>
  </si>
  <si>
    <t>Cables and Optional Equipments</t>
  </si>
  <si>
    <t>21240434</t>
  </si>
  <si>
    <t>Operating System</t>
  </si>
  <si>
    <t>Redhat Linux Operating System</t>
  </si>
  <si>
    <t>05200348</t>
  </si>
  <si>
    <t>BC1M22HGSC</t>
  </si>
  <si>
    <t>BC1M01FGEB</t>
  </si>
  <si>
    <t>BC1M13RISE</t>
  </si>
  <si>
    <t>WEPW80015</t>
  </si>
  <si>
    <t>BC1M25CPU</t>
  </si>
  <si>
    <t>N21DDR408</t>
  </si>
  <si>
    <t>N1000ST7W2</t>
  </si>
  <si>
    <t>BC1M52ESMN</t>
  </si>
  <si>
    <t>EGUIDER01</t>
  </si>
  <si>
    <t>G0LINUX23</t>
  </si>
  <si>
    <t>02311GGN-88134UGQ-36</t>
  </si>
  <si>
    <t>RH1288 V3 (8*2.5inch HDD Chassis)(Only for oversea,except Japan)H12M-03</t>
  </si>
  <si>
    <t>SM211 Onboard NIC,2xGE Electrical Interface(I350),RJ45</t>
  </si>
  <si>
    <t>PCIe Riser Card,1 slot(x16),RISER1,used for RH1288 V3</t>
  </si>
  <si>
    <t>460W GOLD AC Power Module</t>
  </si>
  <si>
    <t>Intel Xeon E5-2623 v3(3.0GHz/4-core/10MB/105W) Processor (with heatsink)</t>
  </si>
  <si>
    <t>DDR4 RDIMM Memory,8GB,2133MT/s,2Rank(512M*8bit),1.2V,ECC</t>
  </si>
  <si>
    <t>HDD,1000GB,SATA 6Gb/s,7.2K rpm,64MB,2.5inch(2.5inch Drive Bay)</t>
  </si>
  <si>
    <t>SR120(LSI2308) SAS/SATA RAID Card,RAID0,1,1E,10,6Gb/s,no Cache,used for RH1288 V3's 8HDD chassis</t>
  </si>
  <si>
    <t>2U Static Rail Kit</t>
  </si>
  <si>
    <t>RedHat Enterprise Linux,English Version,Server Version(2CPU),include HA,6.x,up to 2 guest,32/64bit,No Document,3 year 5*8 service</t>
  </si>
  <si>
    <t>RH1288 V3 (8HDD Chassis)H12M-03 For oversea (except Japan)-Co-Care Standard 9x5xNBD Service-36Month(s)</t>
  </si>
  <si>
    <t>02311CQB</t>
  </si>
  <si>
    <t>02311FMR</t>
  </si>
  <si>
    <t>Windows Operating System</t>
  </si>
  <si>
    <t>05200177</t>
  </si>
  <si>
    <t>BC1M24CPU</t>
  </si>
  <si>
    <t>N1800S10W2</t>
  </si>
  <si>
    <t>GW2012L02</t>
  </si>
  <si>
    <t>Intel Xeon E5-2620 v3(2.4GHz/6-core/15MB/85W) Processor (with heatsink)</t>
  </si>
  <si>
    <t>HDD,1800GB,SAS 12Gb/s,10K rpm,128MB,2.5inch(2.5inch Drive Bay)</t>
  </si>
  <si>
    <t>Windows Server 2012,English,Standard,x86,64bit,General OEM,COA Lic,2 physical processors,2 virtual instances,DVD,without product services,no CAL</t>
  </si>
  <si>
    <t>02311HAL</t>
  </si>
  <si>
    <t>N900S1210W2</t>
  </si>
  <si>
    <t>HDD,900GB,SAS 12Gb/s,10K rpm,128MB or above,2.5inch(2.5inch Drive Bay)</t>
  </si>
  <si>
    <t>0000Pdavid.avila201611300002</t>
  </si>
  <si>
    <t>Colombia Rep Office</t>
  </si>
  <si>
    <t>Persepolis_Servidores</t>
  </si>
  <si>
    <t>Huawei Technologies Co., Ltd.</t>
  </si>
  <si>
    <t>2016-11-30</t>
  </si>
  <si>
    <t>content</t>
  </si>
  <si>
    <t>QUOTATION DISCLAIMER</t>
  </si>
  <si>
    <t>validdate</t>
  </si>
  <si>
    <t>Please refer to the L3 table for the detail version information.</t>
  </si>
  <si>
    <t>Huawei shall be entitled to select another supplier if the nominated supplier is no longer qualified or in default of its performance.</t>
  </si>
  <si>
    <t>Extra charge shall be paid for exceeded length of cables based on actual site information.</t>
  </si>
  <si>
    <t>Important:The total price of Trunk Cable,Optical Fiber,Ethernet Cable,Jumper Cable,Power Cable,Installation Materials,Auxiliary,Feeders are firmed and shall remain unchanged regardless quantities and required items used on actual.</t>
  </si>
  <si>
    <t>Statement on Embedded Software License ：Huawei application package might include Embedded Software License (abbreviated as “ESL”, means a third-party software that must be bundled or integrated with application software or equipment of Huawei, of which limited license is granted by owner to users for designated purpose other than anyone else. Maintenance and Upgrade can not be executed independently or separately). ESL can only be used through Huawei's application package and (1) shall not be installed, configured, upgraded, or modified directly; (2) nor be accessed directly, but solely through Huawei’s application package. Huawei may only access the ESL directly for purposes of providing technical assistance.</t>
  </si>
  <si>
    <t>Project Basic Information</t>
  </si>
  <si>
    <t>Parameter Name</t>
  </si>
  <si>
    <t>Parameter Value</t>
  </si>
  <si>
    <t>Quotation Name</t>
  </si>
  <si>
    <t>Quotation No.</t>
  </si>
  <si>
    <t>Customer Name</t>
  </si>
  <si>
    <t>Proposal No.</t>
  </si>
  <si>
    <t>Contract No.</t>
  </si>
  <si>
    <t>PO No.</t>
  </si>
  <si>
    <t>Local Office</t>
  </si>
  <si>
    <t>Partner Name</t>
  </si>
  <si>
    <t>NETDATA COLOMBIA</t>
  </si>
  <si>
    <t>Authorized Price</t>
  </si>
  <si>
    <t>COL_SORTNO.0</t>
  </si>
  <si>
    <t>COL_DESCRIPTION.0</t>
  </si>
  <si>
    <t>COL_VALUE.0</t>
  </si>
  <si>
    <t>COL_DISCOUNTOFFVALUE.0</t>
  </si>
  <si>
    <t>COL_TOTAL_LIST_PRICE.0</t>
  </si>
  <si>
    <t>COL_TRADECOEFFICIENT.0</t>
  </si>
  <si>
    <t>COL_TOTAL_PRICE1.0</t>
  </si>
  <si>
    <t>QF_SYS_CURRENCY.0,null</t>
  </si>
  <si>
    <t>QF_SYS_LISTPRICECURRENCY.0,null</t>
  </si>
  <si>
    <t>QF_SYS_EXCHANGE.0,null</t>
  </si>
  <si>
    <t>QF_SYS_TRADETERMDESC.0,null</t>
  </si>
  <si>
    <t>QuoteType.0,null</t>
  </si>
  <si>
    <t>QF_SYS_DESTINATION.0,null</t>
  </si>
  <si>
    <t>PHUAWEIHW.0,null</t>
  </si>
  <si>
    <t>PHUAWEIHSW.0,null</t>
  </si>
  <si>
    <t>PHUAWEISW.0,null</t>
  </si>
  <si>
    <t>POUTSOURINGHW.0,null</t>
  </si>
  <si>
    <t>POUTSOURINGSW.0,null</t>
  </si>
  <si>
    <t>PLOCALOUTSOURCING.0,null</t>
  </si>
  <si>
    <t>PLOCALSERVICE.0,null</t>
  </si>
  <si>
    <t>PHUAWEISERVICE.0,null</t>
  </si>
  <si>
    <t>PVIRTUALTRADECATEGORY.0,null</t>
  </si>
  <si>
    <t>PLSSERVICE.0,null</t>
  </si>
  <si>
    <t>Product Discount</t>
  </si>
  <si>
    <t>totalprice.1,</t>
  </si>
  <si>
    <t>1</t>
  </si>
  <si>
    <t>totalprice.1,,productid.10401360,mainequipment.10401360,</t>
  </si>
  <si>
    <t>1.1</t>
  </si>
  <si>
    <t>totalprice.1,,productid.10401360,mainequipment.10401360,productid.10401360,discountcategoryid.13,isquoteleaf.1</t>
  </si>
  <si>
    <t>totalprice.1,,productid.10401360,mainequipment.10401360,productid.10401360,discountcategoryid.14,isquoteleaf.1</t>
  </si>
  <si>
    <t>totalprice.1,,productid.10401360,mainequipment.10401360,productid.10401360,discountcategoryid.10746,isquoteleaf.1</t>
  </si>
  <si>
    <t>totalprice.1,,productid.10352220,mainequipment.10352220,</t>
  </si>
  <si>
    <t>1.2</t>
  </si>
  <si>
    <t>totalprice.1,,productid.10352220,mainequipment.10352220,productid.10352220,discountcategoryid.13,isquoteleaf.1</t>
  </si>
  <si>
    <t>totalprice.1,,productid.10352220,mainequipment.10352220,productid.10352220,discountcategoryid.14,isquoteleaf.1</t>
  </si>
  <si>
    <t>totalprice.1,,productid.10352220,mainequipment.10352220,productid.10352220,discountcategoryid.10750,isquoteleaf.1</t>
  </si>
  <si>
    <t>totalprice.1,,productid.10377271,mainequipment.10377271,</t>
  </si>
  <si>
    <t>1.3</t>
  </si>
  <si>
    <t>totalprice.1,,productid.10377271,mainequipment.10377271,productid.10377271,discountcategoryid.13,isquoteleaf.1</t>
  </si>
  <si>
    <t>totalprice.1,,productid.10377271,mainequipment.10377271,productid.10377271,discountcategoryid.14,isquoteleaf.1</t>
  </si>
  <si>
    <t>totalprice.1,,productid.10377271,mainequipment.10377271,productid.10377271,discountcategoryid.10750,isquoteleaf.1</t>
  </si>
  <si>
    <t>totalprice.1,,productid.10389851,mainequipment.10389851,</t>
  </si>
  <si>
    <t>1.4</t>
  </si>
  <si>
    <t>totalprice.1,,productid.10389851,mainequipment.10389851,productid.10389851,discountcategoryid.403,isquoteleaf.1</t>
  </si>
  <si>
    <t>totalprice.1,,productid.10389851,mainequipment.10389851,productid.10389851,discountcategoryid.57,isquoteleaf.1</t>
  </si>
  <si>
    <t>totalprice.1,,productid.10389851,mainequipment.10389851,productid.10389851,discountcategoryid.14,isquoteleaf.1</t>
  </si>
  <si>
    <t>totalprice.1,,productid.10389851,mainequipment.10389851,productid.10389851,discountcategoryid.10729,isquoteleaf.1</t>
  </si>
  <si>
    <t>totalprice.1,,productid.10389851,mainequipment.10389851,productid.10389851,discountcategoryid.10744,isquoteleaf.1</t>
  </si>
  <si>
    <t>totalprice.1,,productid.10464009,mainequipment.10464009,</t>
  </si>
  <si>
    <t>1.5</t>
  </si>
  <si>
    <t>totalprice.1,,productid.10464009,mainequipment.10464009,productid.10464009,discountcategoryid.13,isquoteleaf.1</t>
  </si>
  <si>
    <t>totalprice.1,,productid.10464009,mainequipment.10464009,productid.10464009,discountcategoryid.14,isquoteleaf.1</t>
  </si>
  <si>
    <t>totalprice.1,,productid.10464009,mainequipment.10464009,productid.10464009,discountcategoryid.10745,isquoteleaf.1</t>
  </si>
  <si>
    <t>COL_ADD.0</t>
  </si>
  <si>
    <t>COL_LIST_PRICE.0</t>
  </si>
  <si>
    <t>COL_UNIT_PRICE1.0</t>
  </si>
  <si>
    <t>totalprice.0,locationid.509594414,</t>
  </si>
  <si>
    <t>totalprice.0,locationid.509594414,productcfgid.25188172,productid.10401360,cfgmodeltypeid.5,producttypeid.0,isquoteleaf.1</t>
  </si>
  <si>
    <t>totalprice.0,locationid.1375519378,</t>
  </si>
  <si>
    <t>2</t>
  </si>
  <si>
    <t>totalprice.0,locationid.1375519378,productcfgid.25186640,productid.10352220,cfgmodeltypeid.5,producttypeid.0,isquoteleaf.1</t>
  </si>
  <si>
    <t>totalprice.0,locationid.-1563628541,</t>
  </si>
  <si>
    <t>3</t>
  </si>
  <si>
    <t>totalprice.0,locationid.-1563628541,productcfgid.25186628,productid.10377271,cfgmodeltypeid.5,producttypeid.0,isquoteleaf.1</t>
  </si>
  <si>
    <t>totalprice.0,locationid.-967403217,</t>
  </si>
  <si>
    <t>4</t>
  </si>
  <si>
    <t>totalprice.0,locationid.-967403217,productcfgid.25186582,productid.10389851,cfgmodeltypeid.5,producttypeid.0,isquoteleaf.1</t>
  </si>
  <si>
    <t>totalprice.0,locationid.1443048729,</t>
  </si>
  <si>
    <t>5</t>
  </si>
  <si>
    <t>totalprice.0,locationid.1443048729,productcfgid.25188031,productid.10464009,cfgmodeltypeid.5,producttypeid.0,isquoteleaf.1</t>
  </si>
  <si>
    <t>totalprice.0,locationid.1443048728,</t>
  </si>
  <si>
    <t>6</t>
  </si>
  <si>
    <t>totalprice.0,locationid.1443048728,productcfgid.25186261,productid.10464009,cfgmodeltypeid.5,producttypeid.0,isquoteleaf.1</t>
  </si>
  <si>
    <t>totalprice.0,locationid.1443048727,</t>
  </si>
  <si>
    <t>7</t>
  </si>
  <si>
    <t>totalprice.0,locationid.1443048727,productcfgid.25186160,productid.10464009,cfgmodeltypeid.5,producttypeid.0,isquoteleaf.1</t>
  </si>
  <si>
    <t>totalprice.0,locationid.1443048726,</t>
  </si>
  <si>
    <t>8</t>
  </si>
  <si>
    <t>totalprice.0,locationid.1443048726,productcfgid.25186139,productid.10464009,cfgmodeltypeid.5,producttypeid.0,isquoteleaf.1</t>
  </si>
  <si>
    <t>totalprice.0,locationid.1443048704,</t>
  </si>
  <si>
    <t>9</t>
  </si>
  <si>
    <t>totalprice.0,locationid.1443048704,productcfgid.25186137,productid.10464009,cfgmodeltypeid.5,producttypeid.0,isquoteleaf.1</t>
  </si>
  <si>
    <t>totalprice.0,</t>
  </si>
  <si>
    <t>COL_MODELID.0</t>
  </si>
  <si>
    <t>COL_MODELNAME.0</t>
  </si>
  <si>
    <t>NET_VOLUME.0</t>
  </si>
  <si>
    <t>PACK_VOLUME.0</t>
  </si>
  <si>
    <t>NET_WEG.0</t>
  </si>
  <si>
    <t>PACK_WEG.0</t>
  </si>
  <si>
    <t>VM_POW.0</t>
  </si>
  <si>
    <t>VT_POW.0</t>
  </si>
  <si>
    <t>VMI_POW.0</t>
  </si>
  <si>
    <t>NULL</t>
  </si>
  <si>
    <t>totalstatistics.1,productcfgid.25188172,locationid509594414,</t>
  </si>
  <si>
    <t>totalstatistics.1,productcfgid.25186640,locationid1375519378,</t>
  </si>
  <si>
    <t>totalstatistics.1,productcfgid.25186628,locationid-1563628541,</t>
  </si>
  <si>
    <t>totalstatistics.1,productcfgid.25186582,locationid-967403217,</t>
  </si>
  <si>
    <t>totalstatistics.1,productcfgid.25188031,locationid1443048729,</t>
  </si>
  <si>
    <t>totalstatistics.1,productcfgid.25186261,locationid1443048728,</t>
  </si>
  <si>
    <t>totalstatistics.1,productcfgid.25186160,locationid1443048727,</t>
  </si>
  <si>
    <t>totalstatistics.1,productcfgid.25186139,locationid1443048726,</t>
  </si>
  <si>
    <t>totalstatistics.1,productcfgid.25186137,locationid1443048704,</t>
  </si>
  <si>
    <t>totalstatistics.1,</t>
  </si>
  <si>
    <t>These Statistics contain the number of the configs.</t>
  </si>
  <si>
    <t>COL_SALECODE.0</t>
  </si>
  <si>
    <t>COL_MODEL.0</t>
  </si>
  <si>
    <t>COL_UNIT_QTY.0</t>
  </si>
  <si>
    <t>COL_DISCOUNTDESCVALUE.0</t>
  </si>
  <si>
    <t>COL_DISCOUNTOFFDESCVALUE.0</t>
  </si>
  <si>
    <t>COL_DISCOUNTDESC.0</t>
  </si>
  <si>
    <t>COL_BETAREMARK.0</t>
  </si>
  <si>
    <t>sitecfgid.25188172_509594414,productcfgid.25188172,cfgmodeltypeid.5,productid.10401360,locationid.509594414,</t>
  </si>
  <si>
    <t>sitecfgid.25188172_509594414,productcfgid.25188172,cfgmodeltypeid.5,productid.10401360,locationid.509594414,productid.10401360,equipExtId.2</t>
  </si>
  <si>
    <t>sitecfgid.25188172_509594414,productcfgid.25188172,cfgmodeltypeid.5,productid.10401360,locationid.509594414,productid.10401360,sbomid2.35158653,fathersbomid.0,null</t>
  </si>
  <si>
    <t>sitecfgid.25188172_509594414,productcfgid.25188172,cfgmodeltypeid.5,productid.10401360,locationid.509594414,productid.10401360,sbomid3.35158659,fathersbomid.35158653,null</t>
  </si>
  <si>
    <t>1.1.1</t>
  </si>
  <si>
    <t>sitecfgid.25188172_509594414,productcfgid.25188172,cfgmodeltypeid.5,productid.10401360,locationid.509594414,productid.10401360,sbomid4.35158714,fathersbomid.35158659,listprice.2220.0,productid.10401360,producttypeid.0,partnumber.02358825,erpid.37122924,discountcategoryid.13,isquoteleaf.1,isquoteitem.1</t>
  </si>
  <si>
    <t>sitecfgid.25188172_509594414,productcfgid.25188172,cfgmodeltypeid.5,productid.10401360,locationid.509594414,productid.10401360,sbomid3.35158661,fathersbomid.35158653,null</t>
  </si>
  <si>
    <t>1.1.2</t>
  </si>
  <si>
    <t>sitecfgid.25188172_509594414,productcfgid.25188172,cfgmodeltypeid.5,productid.10401360,locationid.509594414,productid.10401360,sbomid4.35158725,fathersbomid.35158661,listprice.366.0,productid.10401360,producttypeid.0,partnumber.02358140,erpid.35517637,discountcategoryid.14,isquoteleaf.1,isquoteitem.1</t>
  </si>
  <si>
    <t>sitecfgid.25188172_509594414,productcfgid.25188172,cfgmodeltypeid.5,productid.10401360,locationid.509594414,productid.10401360,sbomid2.35158654,fathersbomid.0,null</t>
  </si>
  <si>
    <t>sitecfgid.25188172_509594414,productcfgid.25188172,cfgmodeltypeid.5,productid.10401360,locationid.509594414,productid.10401360,sbomid3.35158662,fathersbomid.35158654,listprice.120.0,productid.10401360,producttypeid.0,partnumber.02131122,erpid.35148778,discountcategoryid.14,isquoteleaf.1,isquoteitem.1</t>
  </si>
  <si>
    <t>sitecfgid.25188172_509594414,productcfgid.25188172,cfgmodeltypeid.5,productid.10401360,locationid.509594414,productid.10401360,sbomid2.35158656,fathersbomid.0,null</t>
  </si>
  <si>
    <t>sitecfgid.25188172_509594414,productcfgid.25188172,cfgmodeltypeid.5,productid.10401360,locationid.509594414,productid.10401360,sbomid3.43249234,fathersbomid.35158656,listprice.29.0,productid.10401360,producttypeid.0,partnumber.21242247,erpid.1000198273,discountcategoryid.14,isquoteleaf.1,isquoteitem.1</t>
  </si>
  <si>
    <t>sitecfgid.25188172_509594414,productcfgid.25188172,cfgmodeltypeid.5,productid.10401360,locationid.509594414,productid.10401360,sbomid2.-1026618433,fathersbomid.0,null</t>
  </si>
  <si>
    <t>sitecfgid.25188172_509594414,productcfgid.25188172,cfgmodeltypeid.5,productid.10401360,locationid.509594414,productid.10401360,sbomid3.-1402715452,fathersbomid.-1026618433,listprice.194.88,productid.10401360,producttypeid.0,partnumber.88134UGQ,erpid.32867197,discountcategoryid.10746,isquoteleaf.1,isquoteitem.1</t>
  </si>
  <si>
    <t>sitecfgid.25186640_1375519378,productcfgid.25186640,cfgmodeltypeid.5,productid.10352220,locationid.1375519378,</t>
  </si>
  <si>
    <t>sitecfgid.25186640_1375519378,productcfgid.25186640,cfgmodeltypeid.5,productid.10352220,locationid.1375519378,productid.10352220,equipExtId.2</t>
  </si>
  <si>
    <t>sitecfgid.25186640_1375519378,productcfgid.25186640,cfgmodeltypeid.5,productid.10352220,locationid.1375519378,productid.10352220,sbomid2.30218554,fathersbomid.0,null</t>
  </si>
  <si>
    <t>2.1</t>
  </si>
  <si>
    <t>sitecfgid.25186640_1375519378,productcfgid.25186640,cfgmodeltypeid.5,productid.10352220,locationid.1375519378,productid.10352220,sbomid3.36512136,fathersbomid.30218554,listprice.1520.0,productid.10352220,producttypeid.0,partnumber.02350DQJ,erpid.37430955,discountcategoryid.13,isquoteleaf.1,isquoteitem.1</t>
  </si>
  <si>
    <t>sitecfgid.25186640_1375519378,productcfgid.25186640,cfgmodeltypeid.5,productid.10352220,locationid.1375519378,productid.10352220,sbomid2.30218560,fathersbomid.0,null</t>
  </si>
  <si>
    <t>2.2</t>
  </si>
  <si>
    <t>sitecfgid.25186640_1375519378,productcfgid.25186640,cfgmodeltypeid.5,productid.10352220,locationid.1375519378,productid.10352220,sbomid3.39167334,fathersbomid.30218560,null</t>
  </si>
  <si>
    <t>2.2.1</t>
  </si>
  <si>
    <t>sitecfgid.25186640_1375519378,productcfgid.25186640,cfgmodeltypeid.5,productid.10352220,locationid.1375519378,productid.10352220,sbomid4.39167411,fathersbomid.39167334,listprice.10.0,productid.10352220,producttypeid.0,partnumber.02311CKR,erpid.37302885,discountcategoryid.14,isquoteleaf.1,isquoteitem.1</t>
  </si>
  <si>
    <t>sitecfgid.25186640_1375519378,productcfgid.25186640,cfgmodeltypeid.5,productid.10352220,locationid.1375519378,productid.10352220,sbomid2.-1026618433,fathersbomid.0,null</t>
  </si>
  <si>
    <t>2.3</t>
  </si>
  <si>
    <t>sitecfgid.25186640_1375519378,productcfgid.25186640,cfgmodeltypeid.5,productid.10352220,locationid.1375519378,productid.10352220,sbomid3.-1212500958,fathersbomid.-1026618433,listprice.154.8,productid.10352220,producttypeid.0,partnumber.88134UGQ,erpid.32867197,discountcategoryid.10750,isquoteleaf.1,isquoteitem.1</t>
  </si>
  <si>
    <t>sitecfgid.25186628_-1563628541,productcfgid.25186628,cfgmodeltypeid.5,productid.10377271,locationid.-1563628541,</t>
  </si>
  <si>
    <t>sitecfgid.25186628_-1563628541,productcfgid.25186628,cfgmodeltypeid.5,productid.10377271,locationid.-1563628541,productid.10377271,equipExtId.2</t>
  </si>
  <si>
    <t>sitecfgid.25186628_-1563628541,productcfgid.25186628,cfgmodeltypeid.5,productid.10377271,locationid.-1563628541,productid.10377271,sbomid2.30309346,fathersbomid.0,null</t>
  </si>
  <si>
    <t>3.1</t>
  </si>
  <si>
    <t>sitecfgid.25186628_-1563628541,productcfgid.25186628,cfgmodeltypeid.5,productid.10377271,locationid.-1563628541,productid.10377271,sbomid3.30309360,fathersbomid.30309346,null</t>
  </si>
  <si>
    <t>3.1.1</t>
  </si>
  <si>
    <t>sitecfgid.25186628_-1563628541,productcfgid.25186628,cfgmodeltypeid.5,productid.10377271,locationid.-1563628541,productid.10377271,sbomid4.39120012,fathersbomid.30309360,listprice.6290.0,productid.10377271,producttypeid.0,partnumber.02350DLX,erpid.40022223,discountcategoryid.13,isquoteleaf.1,isquoteitem.1</t>
  </si>
  <si>
    <t>sitecfgid.25186628_-1563628541,productcfgid.25186628,cfgmodeltypeid.5,productid.10377271,locationid.-1563628541,productid.10377271,sbomid2.30309348,fathersbomid.0,null</t>
  </si>
  <si>
    <t>3.2</t>
  </si>
  <si>
    <t>sitecfgid.25186628_-1563628541,productcfgid.25186628,cfgmodeltypeid.5,productid.10377271,locationid.-1563628541,productid.10377271,sbomid3.36644791,fathersbomid.30309348,listprice.150.0,productid.10377271,producttypeid.0,partnumber.02311BXV,erpid.37369061,discountcategoryid.14,isquoteleaf.1,isquoteitem.1</t>
  </si>
  <si>
    <t>sitecfgid.25186628_-1563628541,productcfgid.25186628,cfgmodeltypeid.5,productid.10377271,locationid.-1563628541,productid.10377271,sbomid2.-1026618433,fathersbomid.0,null</t>
  </si>
  <si>
    <t>3.3</t>
  </si>
  <si>
    <t>sitecfgid.25186628_-1563628541,productcfgid.25186628,cfgmodeltypeid.5,productid.10377271,locationid.-1563628541,productid.10377271,sbomid3.-1996112586,fathersbomid.-1026618433,listprice.377.4,productid.10377271,producttypeid.0,partnumber.88134UGQ,erpid.32867197,discountcategoryid.10750,isquoteleaf.1,isquoteitem.1</t>
  </si>
  <si>
    <t>sitecfgid.25186582_-967403217,productcfgid.25186582,cfgmodeltypeid.5,productid.10389851,locationid.-967403217,</t>
  </si>
  <si>
    <t>sitecfgid.25186582_-967403217,productcfgid.25186582,cfgmodeltypeid.5,productid.10389851,locationid.-967403217,productid.10389851,equipExtId.2</t>
  </si>
  <si>
    <t>sitecfgid.25186582_-967403217,productcfgid.25186582,cfgmodeltypeid.5,productid.10389851,locationid.-967403217,productid.10389851,sbomid2.41810168,fathersbomid.0,null</t>
  </si>
  <si>
    <t>4.1</t>
  </si>
  <si>
    <t>sitecfgid.25186582_-967403217,productcfgid.25186582,cfgmodeltypeid.5,productid.10389851,locationid.-967403217,productid.10389851,sbomid3.41810177,fathersbomid.41810168,listprice.12386.0,productid.10389851,producttypeid.0,partnumber.02350SHW,erpid.1000138863,discountcategoryid.403,isquoteleaf.1,isquoteitem.1</t>
  </si>
  <si>
    <t>sitecfgid.25186582_-967403217,productcfgid.25186582,cfgmodeltypeid.5,productid.10389851,locationid.-967403217,productid.10389851,sbomid2.41810169,fathersbomid.0,null</t>
  </si>
  <si>
    <t>4.2</t>
  </si>
  <si>
    <t>sitecfgid.25186582_-967403217,productcfgid.25186582,cfgmodeltypeid.5,productid.10389851,locationid.-967403217,productid.10389851,sbomid3.41810181,fathersbomid.41810169,listprice.2355.0,productid.10389851,producttypeid.0,partnumber.03057208,erpid.1000138883,discountcategoryid.403,isquoteleaf.1,isquoteitem.1</t>
  </si>
  <si>
    <t>sitecfgid.25186582_-967403217,productcfgid.25186582,cfgmodeltypeid.5,productid.10389851,locationid.-967403217,productid.10389851,sbomid2.41810170,fathersbomid.0,null</t>
  </si>
  <si>
    <t>4.3</t>
  </si>
  <si>
    <t>sitecfgid.25186582_-967403217,productcfgid.25186582,cfgmodeltypeid.5,productid.10389851,locationid.-967403217,productid.10389851,sbomid3.41810198,fathersbomid.41810170,listprice.1804.0,productid.10389851,producttypeid.0,partnumber.02350SNM,erpid.1000138877,discountcategoryid.403,isquoteleaf.1,isquoteitem.1</t>
  </si>
  <si>
    <t>sitecfgid.25186582_-967403217,productcfgid.25186582,cfgmodeltypeid.5,productid.10389851,locationid.-967403217,productid.10389851,sbomid2.41810172,fathersbomid.0,null</t>
  </si>
  <si>
    <t>4.4</t>
  </si>
  <si>
    <t>sitecfgid.25186582_-967403217,productcfgid.25186582,cfgmodeltypeid.5,productid.10389851,locationid.-967403217,productid.10389851,sbomid3.41810208,fathersbomid.41810172,listprice.11.0,productid.10389851,producttypeid.0,partnumber.14130858,erpid.32492302,discountcategoryid.14,isquoteleaf.1,isquoteitem.1</t>
  </si>
  <si>
    <t>sitecfgid.25186582_-967403217,productcfgid.25186582,cfgmodeltypeid.5,productid.10389851,locationid.-967403217,productid.10389851,sbomid2.41810174,fathersbomid.0,null</t>
  </si>
  <si>
    <t>4.5</t>
  </si>
  <si>
    <t>sitecfgid.25186582_-967403217,productcfgid.25186582,cfgmodeltypeid.5,productid.10389851,locationid.-967403217,productid.10389851,sbomid3.41810234,fathersbomid.41810174,null</t>
  </si>
  <si>
    <t>4.5.1</t>
  </si>
  <si>
    <t>sitecfgid.25186582_-967403217,productcfgid.25186582,cfgmodeltypeid.5,productid.10389851,locationid.-967403217,productid.10389851,sbomid4.41810320,fathersbomid.41810234,listprice.2210.0,productid.10389851,producttypeid.0,partnumber.88033NHX,erpid.1000138897,discountcategoryid.57,isquoteleaf.1,isquoteitem.1</t>
  </si>
  <si>
    <t>sitecfgid.25186582_-967403217,productcfgid.25186582,cfgmodeltypeid.5,productid.10389851,locationid.-967403217,productid.10389851,sbomid2.-1026618433,fathersbomid.0,null</t>
  </si>
  <si>
    <t>4.6</t>
  </si>
  <si>
    <t>sitecfgid.25186582_-967403217,productcfgid.25186582,cfgmodeltypeid.5,productid.10389851,locationid.-967403217,productid.10389851,sbomid3.-668500361,fathersbomid.-1026618433,listprice.1350.825,productid.10389851,producttypeid.0,partnumber.88134UGQ,erpid.32867197,discountcategoryid.10744,isquoteleaf.1,isquoteitem.1</t>
  </si>
  <si>
    <t>sitecfgid.25186582_-967403217,productcfgid.25186582,cfgmodeltypeid.5,productid.10389851,locationid.-967403217,productid.10389851,sbomid3.-822678489,fathersbomid.-1026618433,listprice.497.28,productid.10389851,producttypeid.0,partnumber.88134UHK,erpid.32867201,discountcategoryid.10729,isquoteleaf.1,isquoteitem.1</t>
  </si>
  <si>
    <t>sitecfgid.25188031_1443048729,productcfgid.25188031,cfgmodeltypeid.5,productid.10464009,locationid.1443048729,</t>
  </si>
  <si>
    <t>sitecfgid.25188031_1443048729,productcfgid.25188031,cfgmodeltypeid.5,productid.10464009,locationid.1443048729,productid.10464009,equipExtId.2</t>
  </si>
  <si>
    <t>sitecfgid.25188031_1443048729,productcfgid.25188031,cfgmodeltypeid.5,productid.10464009,locationid.1443048729,productid.10464009,sbomid2.35620653,fathersbomid.0,null</t>
  </si>
  <si>
    <t>5.1</t>
  </si>
  <si>
    <t>sitecfgid.25188031_1443048729,productcfgid.25188031,cfgmodeltypeid.5,productid.10464009,locationid.1443048729,productid.10464009,sbomid3.37982832,fathersbomid.35620653,listprice.1199.0,productid.10464009,producttypeid.0,partnumber.02311GGN,erpid.39627990,discountcategoryid.13,isquoteleaf.1,isquoteitem.1</t>
  </si>
  <si>
    <t>sitecfgid.25188031_1443048729,productcfgid.25188031,cfgmodeltypeid.5,productid.10464009,locationid.1443048729,productid.10464009,sbomid3.35620664,fathersbomid.35620653,listprice.179.0,productid.10464009,producttypeid.0,partnumber.02310YKB,erpid.36994797,discountcategoryid.13,isquoteleaf.1,isquoteitem.1</t>
  </si>
  <si>
    <t>sitecfgid.25188031_1443048729,productcfgid.25188031,cfgmodeltypeid.5,productid.10464009,locationid.1443048729,productid.10464009,sbomid3.35620668,fathersbomid.35620653,listprice.59.0,productid.10464009,producttypeid.0,partnumber.02311AFN,erpid.37248057,discountcategoryid.13,isquoteleaf.1,isquoteitem.1</t>
  </si>
  <si>
    <t>sitecfgid.25188031_1443048729,productcfgid.25188031,cfgmodeltypeid.5,productid.10464009,locationid.1443048729,productid.10464009,sbomid3.36997281,fathersbomid.35620653,listprice.249.0,productid.10464009,producttypeid.0,partnumber.02131042,erpid.34390845,discountcategoryid.13,isquoteleaf.1,isquoteitem.1</t>
  </si>
  <si>
    <t>sitecfgid.25188031_1443048729,productcfgid.25188031,cfgmodeltypeid.5,productid.10464009,locationid.1443048729,productid.10464009,sbomid2.35720950,fathersbomid.0,null</t>
  </si>
  <si>
    <t>5.2</t>
  </si>
  <si>
    <t>sitecfgid.25188031_1443048729,productcfgid.25188031,cfgmodeltypeid.5,productid.10464009,locationid.1443048729,productid.10464009,sbomid3.36056329,fathersbomid.35720950,listprice.819.0,productid.10464009,producttypeid.0,partnumber.02311CQC,erpid.37306617,discountcategoryid.13,isquoteleaf.1,isquoteitem.1</t>
  </si>
  <si>
    <t>sitecfgid.25188031_1443048729,productcfgid.25188031,cfgmodeltypeid.5,productid.10464009,locationid.1443048729,productid.10464009,sbomid2.35620655,fathersbomid.0,null</t>
  </si>
  <si>
    <t>5.3</t>
  </si>
  <si>
    <t>sitecfgid.25188031_1443048729,productcfgid.25188031,cfgmodeltypeid.5,productid.10464009,locationid.1443048729,productid.10464009,sbomid3.36706980,fathersbomid.35620655,listprice.259.0,productid.10464009,producttypeid.0,partnumber.06200190,erpid.37374678,discountcategoryid.13,isquoteleaf.1,isquoteitem.1</t>
  </si>
  <si>
    <t>sitecfgid.25188031_1443048729,productcfgid.25188031,cfgmodeltypeid.5,productid.10464009,locationid.1443048729,productid.10464009,sbomid2.35620656,fathersbomid.0,null</t>
  </si>
  <si>
    <t>5.4</t>
  </si>
  <si>
    <t>sitecfgid.25188031_1443048729,productcfgid.25188031,cfgmodeltypeid.5,productid.10464009,locationid.1443048729,productid.10464009,sbomid3.35620687,fathersbomid.35620656,listprice.650.0,productid.10464009,producttypeid.0,partnumber.02310YCH,erpid.36971804,discountcategoryid.13,isquoteleaf.1,isquoteitem.1</t>
  </si>
  <si>
    <t>sitecfgid.25188031_1443048729,productcfgid.25188031,cfgmodeltypeid.5,productid.10464009,locationid.1443048729,productid.10464009,sbomid2.35720954,fathersbomid.0,null</t>
  </si>
  <si>
    <t>5.5</t>
  </si>
  <si>
    <t>sitecfgid.25188031_1443048729,productcfgid.25188031,cfgmodeltypeid.5,productid.10464009,locationid.1443048729,productid.10464009,sbomid3.39184057,fathersbomid.35720954,listprice.199.0,productid.10464009,producttypeid.0,partnumber.02311JDX,erpid.41460019,discountcategoryid.13,isquoteleaf.1,isquoteitem.1</t>
  </si>
  <si>
    <t>sitecfgid.25188031_1443048729,productcfgid.25188031,cfgmodeltypeid.5,productid.10464009,locationid.1443048729,productid.10464009,sbomid2.35720956,fathersbomid.0,null</t>
  </si>
  <si>
    <t>5.6</t>
  </si>
  <si>
    <t>sitecfgid.25188031_1443048729,productcfgid.25188031,cfgmodeltypeid.5,productid.10464009,locationid.1443048729,productid.10464009,sbomid3.35721060,fathersbomid.35720956,listprice.28.0,productid.10464009,producttypeid.0,partnumber.21240434,erpid.32685202,discountcategoryid.14,isquoteleaf.1,isquoteitem.1</t>
  </si>
  <si>
    <t>sitecfgid.25188031_1443048729,productcfgid.25188031,cfgmodeltypeid.5,productid.10464009,locationid.1443048729,productid.10464009,sbomid2.35620661,fathersbomid.0,null</t>
  </si>
  <si>
    <t>5.7</t>
  </si>
  <si>
    <t>sitecfgid.25188031_1443048729,productcfgid.25188031,cfgmodeltypeid.5,productid.10464009,locationid.1443048729,productid.10464009,sbomid3.35620836,fathersbomid.35620661,null</t>
  </si>
  <si>
    <t>5.7.1</t>
  </si>
  <si>
    <t>sitecfgid.25188031_1443048729,productcfgid.25188031,cfgmodeltypeid.5,productid.10464009,locationid.1443048729,productid.10464009,sbomid4.35620852,fathersbomid.35620836,listprice.2869.0,productid.10464009,producttypeid.0,partnumber.05200348,erpid.35348872,discountcategoryid.14,isquoteleaf.1,isquoteitem.1</t>
  </si>
  <si>
    <t>sitecfgid.25188031_1443048729,productcfgid.25188031,cfgmodeltypeid.5,productid.10464009,locationid.1443048729,productid.10464009,sbomid2.-1026618433,fathersbomid.0,null</t>
  </si>
  <si>
    <t>5.8</t>
  </si>
  <si>
    <t>sitecfgid.25188031_1443048729,productcfgid.25188031,cfgmodeltypeid.5,productid.10464009,locationid.1443048729,productid.10464009,sbomid3.-1797002586,fathersbomid.-1026618433,listprice.228.357,productid.10464009,producttypeid.0,partnumber.88134UGQ,erpid.32867197,discountcategoryid.10745,isquoteleaf.1,isquoteitem.1</t>
  </si>
  <si>
    <t>sitecfgid.25186261_1443048728,productcfgid.25186261,cfgmodeltypeid.5,productid.10464009,locationid.1443048728,</t>
  </si>
  <si>
    <t>sitecfgid.25186261_1443048728,productcfgid.25186261,cfgmodeltypeid.5,productid.10464009,locationid.1443048728,productid.10464009,equipExtId.2</t>
  </si>
  <si>
    <t>sitecfgid.25186261_1443048728,productcfgid.25186261,cfgmodeltypeid.5,productid.10464009,locationid.1443048728,productid.10464009,sbomid2.35620653,fathersbomid.0,null</t>
  </si>
  <si>
    <t>6.1</t>
  </si>
  <si>
    <t>sitecfgid.25186261_1443048728,productcfgid.25186261,cfgmodeltypeid.5,productid.10464009,locationid.1443048728,productid.10464009,sbomid3.37982832,fathersbomid.35620653,listprice.1199.0,productid.10464009,producttypeid.0,partnumber.02311GGN,erpid.39627990,discountcategoryid.13,isquoteleaf.1,isquoteitem.1</t>
  </si>
  <si>
    <t>sitecfgid.25186261_1443048728,productcfgid.25186261,cfgmodeltypeid.5,productid.10464009,locationid.1443048728,productid.10464009,sbomid3.35620664,fathersbomid.35620653,listprice.179.0,productid.10464009,producttypeid.0,partnumber.02310YKB,erpid.36994797,discountcategoryid.13,isquoteleaf.1,isquoteitem.1</t>
  </si>
  <si>
    <t>sitecfgid.25186261_1443048728,productcfgid.25186261,cfgmodeltypeid.5,productid.10464009,locationid.1443048728,productid.10464009,sbomid3.35620668,fathersbomid.35620653,listprice.59.0,productid.10464009,producttypeid.0,partnumber.02311AFN,erpid.37248057,discountcategoryid.13,isquoteleaf.1,isquoteitem.1</t>
  </si>
  <si>
    <t>sitecfgid.25186261_1443048728,productcfgid.25186261,cfgmodeltypeid.5,productid.10464009,locationid.1443048728,productid.10464009,sbomid3.36997281,fathersbomid.35620653,listprice.249.0,productid.10464009,producttypeid.0,partnumber.02131042,erpid.34390845,discountcategoryid.13,isquoteleaf.1,isquoteitem.1</t>
  </si>
  <si>
    <t>sitecfgid.25186261_1443048728,productcfgid.25186261,cfgmodeltypeid.5,productid.10464009,locationid.1443048728,productid.10464009,sbomid2.35720950,fathersbomid.0,null</t>
  </si>
  <si>
    <t>6.2</t>
  </si>
  <si>
    <t>sitecfgid.25186261_1443048728,productcfgid.25186261,cfgmodeltypeid.5,productid.10464009,locationid.1443048728,productid.10464009,sbomid3.36056332,fathersbomid.35720950,listprice.759.0,productid.10464009,producttypeid.0,partnumber.02311CQB,erpid.37306616,discountcategoryid.13,isquoteleaf.1,isquoteitem.1</t>
  </si>
  <si>
    <t>sitecfgid.25186261_1443048728,productcfgid.25186261,cfgmodeltypeid.5,productid.10464009,locationid.1443048728,productid.10464009,sbomid2.35620655,fathersbomid.0,null</t>
  </si>
  <si>
    <t>6.3</t>
  </si>
  <si>
    <t>sitecfgid.25186261_1443048728,productcfgid.25186261,cfgmodeltypeid.5,productid.10464009,locationid.1443048728,productid.10464009,sbomid3.36706980,fathersbomid.35620655,listprice.259.0,productid.10464009,producttypeid.0,partnumber.06200190,erpid.37374678,discountcategoryid.13,isquoteleaf.1,isquoteitem.1</t>
  </si>
  <si>
    <t>sitecfgid.25186261_1443048728,productcfgid.25186261,cfgmodeltypeid.5,productid.10464009,locationid.1443048728,productid.10464009,sbomid2.35620656,fathersbomid.0,null</t>
  </si>
  <si>
    <t>6.4</t>
  </si>
  <si>
    <t>sitecfgid.25186261_1443048728,productcfgid.25186261,cfgmodeltypeid.5,productid.10464009,locationid.1443048728,productid.10464009,sbomid3.37982884,fathersbomid.35620656,listprice.1099.0,productid.10464009,producttypeid.0,partnumber.02311FMR,erpid.39318213,discountcategoryid.13,isquoteleaf.1,isquoteitem.1</t>
  </si>
  <si>
    <t>sitecfgid.25186261_1443048728,productcfgid.25186261,cfgmodeltypeid.5,productid.10464009,locationid.1443048728,productid.10464009,sbomid2.35720954,fathersbomid.0,null</t>
  </si>
  <si>
    <t>6.5</t>
  </si>
  <si>
    <t>sitecfgid.25186261_1443048728,productcfgid.25186261,cfgmodeltypeid.5,productid.10464009,locationid.1443048728,productid.10464009,sbomid3.39184057,fathersbomid.35720954,listprice.199.0,productid.10464009,producttypeid.0,partnumber.02311JDX,erpid.41460019,discountcategoryid.13,isquoteleaf.1,isquoteitem.1</t>
  </si>
  <si>
    <t>sitecfgid.25186261_1443048728,productcfgid.25186261,cfgmodeltypeid.5,productid.10464009,locationid.1443048728,productid.10464009,sbomid2.35720956,fathersbomid.0,null</t>
  </si>
  <si>
    <t>6.6</t>
  </si>
  <si>
    <t>sitecfgid.25186261_1443048728,productcfgid.25186261,cfgmodeltypeid.5,productid.10464009,locationid.1443048728,productid.10464009,sbomid3.35721060,fathersbomid.35720956,listprice.28.0,productid.10464009,producttypeid.0,partnumber.21240434,erpid.32685202,discountcategoryid.14,isquoteleaf.1,isquoteitem.1</t>
  </si>
  <si>
    <t>sitecfgid.25186261_1443048728,productcfgid.25186261,cfgmodeltypeid.5,productid.10464009,locationid.1443048728,productid.10464009,sbomid2.35620661,fathersbomid.0,null</t>
  </si>
  <si>
    <t>6.7</t>
  </si>
  <si>
    <t>sitecfgid.25186261_1443048728,productcfgid.25186261,cfgmodeltypeid.5,productid.10464009,locationid.1443048728,productid.10464009,sbomid3.35620837,fathersbomid.35620661,null</t>
  </si>
  <si>
    <t>6.7.1</t>
  </si>
  <si>
    <t>sitecfgid.25186261_1443048728,productcfgid.25186261,cfgmodeltypeid.5,productid.10464009,locationid.1443048728,productid.10464009,sbomid4.35620884,fathersbomid.35620837,listprice.821.0,productid.10464009,producttypeid.0,partnumber.05200177,erpid.33616583,discountcategoryid.14,isquoteleaf.1,isquoteitem.1</t>
  </si>
  <si>
    <t>sitecfgid.25186261_1443048728,productcfgid.25186261,cfgmodeltypeid.5,productid.10464009,locationid.1443048728,productid.10464009,sbomid2.-1026618433,fathersbomid.0,null</t>
  </si>
  <si>
    <t>6.8</t>
  </si>
  <si>
    <t>sitecfgid.25186261_1443048728,productcfgid.25186261,cfgmodeltypeid.5,productid.10464009,locationid.1443048728,productid.10464009,sbomid3.-1797002586,fathersbomid.-1026618433,listprice.228.357,productid.10464009,producttypeid.0,partnumber.88134UGQ,erpid.32867197,discountcategoryid.10745,isquoteleaf.1,isquoteitem.1</t>
  </si>
  <si>
    <t>sitecfgid.25186160_1443048727,productcfgid.25186160,cfgmodeltypeid.5,productid.10464009,locationid.1443048727,</t>
  </si>
  <si>
    <t>sitecfgid.25186160_1443048727,productcfgid.25186160,cfgmodeltypeid.5,productid.10464009,locationid.1443048727,productid.10464009,equipExtId.2</t>
  </si>
  <si>
    <t>sitecfgid.25186160_1443048727,productcfgid.25186160,cfgmodeltypeid.5,productid.10464009,locationid.1443048727,productid.10464009,sbomid2.35620653,fathersbomid.0,null</t>
  </si>
  <si>
    <t>7.1</t>
  </si>
  <si>
    <t>sitecfgid.25186160_1443048727,productcfgid.25186160,cfgmodeltypeid.5,productid.10464009,locationid.1443048727,productid.10464009,sbomid3.37982832,fathersbomid.35620653,listprice.1199.0,productid.10464009,producttypeid.0,partnumber.02311GGN,erpid.39627990,discountcategoryid.13,isquoteleaf.1,isquoteitem.1</t>
  </si>
  <si>
    <t>sitecfgid.25186160_1443048727,productcfgid.25186160,cfgmodeltypeid.5,productid.10464009,locationid.1443048727,productid.10464009,sbomid3.35620664,fathersbomid.35620653,listprice.179.0,productid.10464009,producttypeid.0,partnumber.02310YKB,erpid.36994797,discountcategoryid.13,isquoteleaf.1,isquoteitem.1</t>
  </si>
  <si>
    <t>sitecfgid.25186160_1443048727,productcfgid.25186160,cfgmodeltypeid.5,productid.10464009,locationid.1443048727,productid.10464009,sbomid3.35620668,fathersbomid.35620653,listprice.59.0,productid.10464009,producttypeid.0,partnumber.02311AFN,erpid.37248057,discountcategoryid.13,isquoteleaf.1,isquoteitem.1</t>
  </si>
  <si>
    <t>sitecfgid.25186160_1443048727,productcfgid.25186160,cfgmodeltypeid.5,productid.10464009,locationid.1443048727,productid.10464009,sbomid3.36997281,fathersbomid.35620653,listprice.249.0,productid.10464009,producttypeid.0,partnumber.02131042,erpid.34390845,discountcategoryid.13,isquoteleaf.1,isquoteitem.1</t>
  </si>
  <si>
    <t>sitecfgid.25186160_1443048727,productcfgid.25186160,cfgmodeltypeid.5,productid.10464009,locationid.1443048727,productid.10464009,sbomid2.35720950,fathersbomid.0,null</t>
  </si>
  <si>
    <t>7.2</t>
  </si>
  <si>
    <t>sitecfgid.25186160_1443048727,productcfgid.25186160,cfgmodeltypeid.5,productid.10464009,locationid.1443048727,productid.10464009,sbomid3.36056329,fathersbomid.35720950,listprice.819.0,productid.10464009,producttypeid.0,partnumber.02311CQC,erpid.37306617,discountcategoryid.13,isquoteleaf.1,isquoteitem.1</t>
  </si>
  <si>
    <t>sitecfgid.25186160_1443048727,productcfgid.25186160,cfgmodeltypeid.5,productid.10464009,locationid.1443048727,productid.10464009,sbomid2.35620655,fathersbomid.0,null</t>
  </si>
  <si>
    <t>7.3</t>
  </si>
  <si>
    <t>sitecfgid.25186160_1443048727,productcfgid.25186160,cfgmodeltypeid.5,productid.10464009,locationid.1443048727,productid.10464009,sbomid3.36706980,fathersbomid.35620655,listprice.259.0,productid.10464009,producttypeid.0,partnumber.06200190,erpid.37374678,discountcategoryid.13,isquoteleaf.1,isquoteitem.1</t>
  </si>
  <si>
    <t>sitecfgid.25186160_1443048727,productcfgid.25186160,cfgmodeltypeid.5,productid.10464009,locationid.1443048727,productid.10464009,sbomid2.35620656,fathersbomid.0,null</t>
  </si>
  <si>
    <t>7.4</t>
  </si>
  <si>
    <t>sitecfgid.25186160_1443048727,productcfgid.25186160,cfgmodeltypeid.5,productid.10464009,locationid.1443048727,productid.10464009,sbomid3.37982884,fathersbomid.35620656,listprice.1099.0,productid.10464009,producttypeid.0,partnumber.02311FMR,erpid.39318213,discountcategoryid.13,isquoteleaf.1,isquoteitem.1</t>
  </si>
  <si>
    <t>sitecfgid.25186160_1443048727,productcfgid.25186160,cfgmodeltypeid.5,productid.10464009,locationid.1443048727,productid.10464009,sbomid2.35720954,fathersbomid.0,null</t>
  </si>
  <si>
    <t>7.5</t>
  </si>
  <si>
    <t>sitecfgid.25186160_1443048727,productcfgid.25186160,cfgmodeltypeid.5,productid.10464009,locationid.1443048727,productid.10464009,sbomid3.39184057,fathersbomid.35720954,listprice.199.0,productid.10464009,producttypeid.0,partnumber.02311JDX,erpid.41460019,discountcategoryid.13,isquoteleaf.1,isquoteitem.1</t>
  </si>
  <si>
    <t>sitecfgid.25186160_1443048727,productcfgid.25186160,cfgmodeltypeid.5,productid.10464009,locationid.1443048727,productid.10464009,sbomid2.35720956,fathersbomid.0,null</t>
  </si>
  <si>
    <t>7.6</t>
  </si>
  <si>
    <t>sitecfgid.25186160_1443048727,productcfgid.25186160,cfgmodeltypeid.5,productid.10464009,locationid.1443048727,productid.10464009,sbomid3.35721060,fathersbomid.35720956,listprice.28.0,productid.10464009,producttypeid.0,partnumber.21240434,erpid.32685202,discountcategoryid.14,isquoteleaf.1,isquoteitem.1</t>
  </si>
  <si>
    <t>sitecfgid.25186160_1443048727,productcfgid.25186160,cfgmodeltypeid.5,productid.10464009,locationid.1443048727,productid.10464009,sbomid2.35620661,fathersbomid.0,null</t>
  </si>
  <si>
    <t>7.7</t>
  </si>
  <si>
    <t>sitecfgid.25186160_1443048727,productcfgid.25186160,cfgmodeltypeid.5,productid.10464009,locationid.1443048727,productid.10464009,sbomid3.35620837,fathersbomid.35620661,null</t>
  </si>
  <si>
    <t>7.7.1</t>
  </si>
  <si>
    <t>sitecfgid.25186160_1443048727,productcfgid.25186160,cfgmodeltypeid.5,productid.10464009,locationid.1443048727,productid.10464009,sbomid4.35620884,fathersbomid.35620837,listprice.821.0,productid.10464009,producttypeid.0,partnumber.05200177,erpid.33616583,discountcategoryid.14,isquoteleaf.1,isquoteitem.1</t>
  </si>
  <si>
    <t>sitecfgid.25186160_1443048727,productcfgid.25186160,cfgmodeltypeid.5,productid.10464009,locationid.1443048727,productid.10464009,sbomid2.-1026618433,fathersbomid.0,null</t>
  </si>
  <si>
    <t>7.8</t>
  </si>
  <si>
    <t>sitecfgid.25186160_1443048727,productcfgid.25186160,cfgmodeltypeid.5,productid.10464009,locationid.1443048727,productid.10464009,sbomid3.-1797002586,fathersbomid.-1026618433,listprice.228.357,productid.10464009,producttypeid.0,partnumber.88134UGQ,erpid.32867197,discountcategoryid.10745,isquoteleaf.1,isquoteitem.1</t>
  </si>
  <si>
    <t>sitecfgid.25186139_1443048726,productcfgid.25186139,cfgmodeltypeid.5,productid.10464009,locationid.1443048726,</t>
  </si>
  <si>
    <t>sitecfgid.25186139_1443048726,productcfgid.25186139,cfgmodeltypeid.5,productid.10464009,locationid.1443048726,productid.10464009,equipExtId.2</t>
  </si>
  <si>
    <t>sitecfgid.25186139_1443048726,productcfgid.25186139,cfgmodeltypeid.5,productid.10464009,locationid.1443048726,productid.10464009,sbomid2.35620653,fathersbomid.0,null</t>
  </si>
  <si>
    <t>8.1</t>
  </si>
  <si>
    <t>sitecfgid.25186139_1443048726,productcfgid.25186139,cfgmodeltypeid.5,productid.10464009,locationid.1443048726,productid.10464009,sbomid3.37982832,fathersbomid.35620653,listprice.1199.0,productid.10464009,producttypeid.0,partnumber.02311GGN,erpid.39627990,discountcategoryid.13,isquoteleaf.1,isquoteitem.1</t>
  </si>
  <si>
    <t>sitecfgid.25186139_1443048726,productcfgid.25186139,cfgmodeltypeid.5,productid.10464009,locationid.1443048726,productid.10464009,sbomid3.35620664,fathersbomid.35620653,listprice.179.0,productid.10464009,producttypeid.0,partnumber.02310YKB,erpid.36994797,discountcategoryid.13,isquoteleaf.1,isquoteitem.1</t>
  </si>
  <si>
    <t>sitecfgid.25186139_1443048726,productcfgid.25186139,cfgmodeltypeid.5,productid.10464009,locationid.1443048726,productid.10464009,sbomid3.35620668,fathersbomid.35620653,listprice.59.0,productid.10464009,producttypeid.0,partnumber.02311AFN,erpid.37248057,discountcategoryid.13,isquoteleaf.1,isquoteitem.1</t>
  </si>
  <si>
    <t>sitecfgid.25186139_1443048726,productcfgid.25186139,cfgmodeltypeid.5,productid.10464009,locationid.1443048726,productid.10464009,sbomid3.36997281,fathersbomid.35620653,listprice.249.0,productid.10464009,producttypeid.0,partnumber.02131042,erpid.34390845,discountcategoryid.13,isquoteleaf.1,isquoteitem.1</t>
  </si>
  <si>
    <t>sitecfgid.25186139_1443048726,productcfgid.25186139,cfgmodeltypeid.5,productid.10464009,locationid.1443048726,productid.10464009,sbomid2.35720950,fathersbomid.0,null</t>
  </si>
  <si>
    <t>8.2</t>
  </si>
  <si>
    <t>sitecfgid.25186139_1443048726,productcfgid.25186139,cfgmodeltypeid.5,productid.10464009,locationid.1443048726,productid.10464009,sbomid3.36056332,fathersbomid.35720950,listprice.759.0,productid.10464009,producttypeid.0,partnumber.02311CQB,erpid.37306616,discountcategoryid.13,isquoteleaf.1,isquoteitem.1</t>
  </si>
  <si>
    <t>sitecfgid.25186139_1443048726,productcfgid.25186139,cfgmodeltypeid.5,productid.10464009,locationid.1443048726,productid.10464009,sbomid2.35620655,fathersbomid.0,null</t>
  </si>
  <si>
    <t>8.3</t>
  </si>
  <si>
    <t>sitecfgid.25186139_1443048726,productcfgid.25186139,cfgmodeltypeid.5,productid.10464009,locationid.1443048726,productid.10464009,sbomid3.36706980,fathersbomid.35620655,listprice.259.0,productid.10464009,producttypeid.0,partnumber.06200190,erpid.37374678,discountcategoryid.13,isquoteleaf.1,isquoteitem.1</t>
  </si>
  <si>
    <t>sitecfgid.25186139_1443048726,productcfgid.25186139,cfgmodeltypeid.5,productid.10464009,locationid.1443048726,productid.10464009,sbomid2.35620656,fathersbomid.0,null</t>
  </si>
  <si>
    <t>8.4</t>
  </si>
  <si>
    <t>sitecfgid.25186139_1443048726,productcfgid.25186139,cfgmodeltypeid.5,productid.10464009,locationid.1443048726,productid.10464009,sbomid3.39145485,fathersbomid.35620656,listprice.559.0,productid.10464009,producttypeid.0,partnumber.02311HAL,erpid.40581052,discountcategoryid.13,isquoteleaf.1,isquoteitem.1</t>
  </si>
  <si>
    <t>sitecfgid.25186139_1443048726,productcfgid.25186139,cfgmodeltypeid.5,productid.10464009,locationid.1443048726,productid.10464009,sbomid2.35720954,fathersbomid.0,null</t>
  </si>
  <si>
    <t>8.5</t>
  </si>
  <si>
    <t>sitecfgid.25186139_1443048726,productcfgid.25186139,cfgmodeltypeid.5,productid.10464009,locationid.1443048726,productid.10464009,sbomid3.39184057,fathersbomid.35720954,listprice.199.0,productid.10464009,producttypeid.0,partnumber.02311JDX,erpid.41460019,discountcategoryid.13,isquoteleaf.1,isquoteitem.1</t>
  </si>
  <si>
    <t>sitecfgid.25186139_1443048726,productcfgid.25186139,cfgmodeltypeid.5,productid.10464009,locationid.1443048726,productid.10464009,sbomid2.35720956,fathersbomid.0,null</t>
  </si>
  <si>
    <t>8.6</t>
  </si>
  <si>
    <t>sitecfgid.25186139_1443048726,productcfgid.25186139,cfgmodeltypeid.5,productid.10464009,locationid.1443048726,productid.10464009,sbomid3.35721060,fathersbomid.35720956,listprice.28.0,productid.10464009,producttypeid.0,partnumber.21240434,erpid.32685202,discountcategoryid.14,isquoteleaf.1,isquoteitem.1</t>
  </si>
  <si>
    <t>sitecfgid.25186139_1443048726,productcfgid.25186139,cfgmodeltypeid.5,productid.10464009,locationid.1443048726,productid.10464009,sbomid2.35620661,fathersbomid.0,null</t>
  </si>
  <si>
    <t>8.7</t>
  </si>
  <si>
    <t>sitecfgid.25186139_1443048726,productcfgid.25186139,cfgmodeltypeid.5,productid.10464009,locationid.1443048726,productid.10464009,sbomid3.35620837,fathersbomid.35620661,null</t>
  </si>
  <si>
    <t>8.7.1</t>
  </si>
  <si>
    <t>sitecfgid.25186139_1443048726,productcfgid.25186139,cfgmodeltypeid.5,productid.10464009,locationid.1443048726,productid.10464009,sbomid4.35620884,fathersbomid.35620837,listprice.821.0,productid.10464009,producttypeid.0,partnumber.05200177,erpid.33616583,discountcategoryid.14,isquoteleaf.1,isquoteitem.1</t>
  </si>
  <si>
    <t>sitecfgid.25186139_1443048726,productcfgid.25186139,cfgmodeltypeid.5,productid.10464009,locationid.1443048726,productid.10464009,sbomid2.-1026618433,fathersbomid.0,null</t>
  </si>
  <si>
    <t>8.8</t>
  </si>
  <si>
    <t>sitecfgid.25186139_1443048726,productcfgid.25186139,cfgmodeltypeid.5,productid.10464009,locationid.1443048726,productid.10464009,sbomid3.-1797002586,fathersbomid.-1026618433,listprice.228.357,productid.10464009,producttypeid.0,partnumber.88134UGQ,erpid.32867197,discountcategoryid.10745,isquoteleaf.1,isquoteitem.1</t>
  </si>
  <si>
    <t>sitecfgid.25186137_1443048704,productcfgid.25186137,cfgmodeltypeid.5,productid.10464009,locationid.1443048704,</t>
  </si>
  <si>
    <t>sitecfgid.25186137_1443048704,productcfgid.25186137,cfgmodeltypeid.5,productid.10464009,locationid.1443048704,productid.10464009,equipExtId.2</t>
  </si>
  <si>
    <t>sitecfgid.25186137_1443048704,productcfgid.25186137,cfgmodeltypeid.5,productid.10464009,locationid.1443048704,productid.10464009,sbomid2.35620653,fathersbomid.0,null</t>
  </si>
  <si>
    <t>9.1</t>
  </si>
  <si>
    <t>sitecfgid.25186137_1443048704,productcfgid.25186137,cfgmodeltypeid.5,productid.10464009,locationid.1443048704,productid.10464009,sbomid3.37982832,fathersbomid.35620653,listprice.1199.0,productid.10464009,producttypeid.0,partnumber.02311GGN,erpid.39627990,discountcategoryid.13,isquoteleaf.1,isquoteitem.1</t>
  </si>
  <si>
    <t>sitecfgid.25186137_1443048704,productcfgid.25186137,cfgmodeltypeid.5,productid.10464009,locationid.1443048704,productid.10464009,sbomid3.35620664,fathersbomid.35620653,listprice.179.0,productid.10464009,producttypeid.0,partnumber.02310YKB,erpid.36994797,discountcategoryid.13,isquoteleaf.1,isquoteitem.1</t>
  </si>
  <si>
    <t>sitecfgid.25186137_1443048704,productcfgid.25186137,cfgmodeltypeid.5,productid.10464009,locationid.1443048704,productid.10464009,sbomid3.35620668,fathersbomid.35620653,listprice.59.0,productid.10464009,producttypeid.0,partnumber.02311AFN,erpid.37248057,discountcategoryid.13,isquoteleaf.1,isquoteitem.1</t>
  </si>
  <si>
    <t>sitecfgid.25186137_1443048704,productcfgid.25186137,cfgmodeltypeid.5,productid.10464009,locationid.1443048704,productid.10464009,sbomid3.36997281,fathersbomid.35620653,listprice.249.0,productid.10464009,producttypeid.0,partnumber.02131042,erpid.34390845,discountcategoryid.13,isquoteleaf.1,isquoteitem.1</t>
  </si>
  <si>
    <t>sitecfgid.25186137_1443048704,productcfgid.25186137,cfgmodeltypeid.5,productid.10464009,locationid.1443048704,productid.10464009,sbomid2.35720950,fathersbomid.0,null</t>
  </si>
  <si>
    <t>9.2</t>
  </si>
  <si>
    <t>sitecfgid.25186137_1443048704,productcfgid.25186137,cfgmodeltypeid.5,productid.10464009,locationid.1443048704,productid.10464009,sbomid3.36056329,fathersbomid.35720950,listprice.819.0,productid.10464009,producttypeid.0,partnumber.02311CQC,erpid.37306617,discountcategoryid.13,isquoteleaf.1,isquoteitem.1</t>
  </si>
  <si>
    <t>sitecfgid.25186137_1443048704,productcfgid.25186137,cfgmodeltypeid.5,productid.10464009,locationid.1443048704,productid.10464009,sbomid2.35620655,fathersbomid.0,null</t>
  </si>
  <si>
    <t>9.3</t>
  </si>
  <si>
    <t>sitecfgid.25186137_1443048704,productcfgid.25186137,cfgmodeltypeid.5,productid.10464009,locationid.1443048704,productid.10464009,sbomid3.36706980,fathersbomid.35620655,listprice.259.0,productid.10464009,producttypeid.0,partnumber.06200190,erpid.37374678,discountcategoryid.13,isquoteleaf.1,isquoteitem.1</t>
  </si>
  <si>
    <t>sitecfgid.25186137_1443048704,productcfgid.25186137,cfgmodeltypeid.5,productid.10464009,locationid.1443048704,productid.10464009,sbomid2.35620656,fathersbomid.0,null</t>
  </si>
  <si>
    <t>9.4</t>
  </si>
  <si>
    <t>sitecfgid.25186137_1443048704,productcfgid.25186137,cfgmodeltypeid.5,productid.10464009,locationid.1443048704,productid.10464009,sbomid3.39145485,fathersbomid.35620656,listprice.559.0,productid.10464009,producttypeid.0,partnumber.02311HAL,erpid.40581052,discountcategoryid.13,isquoteleaf.1,isquoteitem.1</t>
  </si>
  <si>
    <t>sitecfgid.25186137_1443048704,productcfgid.25186137,cfgmodeltypeid.5,productid.10464009,locationid.1443048704,productid.10464009,sbomid2.35720954,fathersbomid.0,null</t>
  </si>
  <si>
    <t>9.5</t>
  </si>
  <si>
    <t>sitecfgid.25186137_1443048704,productcfgid.25186137,cfgmodeltypeid.5,productid.10464009,locationid.1443048704,productid.10464009,sbomid3.39184057,fathersbomid.35720954,listprice.199.0,productid.10464009,producttypeid.0,partnumber.02311JDX,erpid.41460019,discountcategoryid.13,isquoteleaf.1,isquoteitem.1</t>
  </si>
  <si>
    <t>sitecfgid.25186137_1443048704,productcfgid.25186137,cfgmodeltypeid.5,productid.10464009,locationid.1443048704,productid.10464009,sbomid2.35720956,fathersbomid.0,null</t>
  </si>
  <si>
    <t>9.6</t>
  </si>
  <si>
    <t>sitecfgid.25186137_1443048704,productcfgid.25186137,cfgmodeltypeid.5,productid.10464009,locationid.1443048704,productid.10464009,sbomid3.35721060,fathersbomid.35720956,listprice.28.0,productid.10464009,producttypeid.0,partnumber.21240434,erpid.32685202,discountcategoryid.14,isquoteleaf.1,isquoteitem.1</t>
  </si>
  <si>
    <t>sitecfgid.25186137_1443048704,productcfgid.25186137,cfgmodeltypeid.5,productid.10464009,locationid.1443048704,productid.10464009,sbomid2.35620661,fathersbomid.0,null</t>
  </si>
  <si>
    <t>9.7</t>
  </si>
  <si>
    <t>sitecfgid.25186137_1443048704,productcfgid.25186137,cfgmodeltypeid.5,productid.10464009,locationid.1443048704,productid.10464009,sbomid3.35620837,fathersbomid.35620661,null</t>
  </si>
  <si>
    <t>9.7.1</t>
  </si>
  <si>
    <t>sitecfgid.25186137_1443048704,productcfgid.25186137,cfgmodeltypeid.5,productid.10464009,locationid.1443048704,productid.10464009,sbomid4.35620884,fathersbomid.35620837,listprice.821.0,productid.10464009,producttypeid.0,partnumber.05200177,erpid.33616583,discountcategoryid.14,isquoteleaf.1,isquoteitem.1</t>
  </si>
  <si>
    <t>sitecfgid.25186137_1443048704,productcfgid.25186137,cfgmodeltypeid.5,productid.10464009,locationid.1443048704,productid.10464009,sbomid2.-1026618433,fathersbomid.0,null</t>
  </si>
  <si>
    <t>9.8</t>
  </si>
  <si>
    <t>sitecfgid.25186137_1443048704,productcfgid.25186137,cfgmodeltypeid.5,productid.10464009,locationid.1443048704,productid.10464009,sbomid3.-1797002586,fathersbomid.-1026618433,listprice.228.357,productid.10464009,producttypeid.0,partnumber.88134UGQ,erpid.32867197,discountcategoryid.10745,isquoteleaf.1,isquoteitem.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</si>
</sst>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d/yy"/>
    <numFmt numFmtId="165" formatCode="0.000000_);[Red]\(0.000000\)"/>
    <numFmt numFmtId="166" formatCode="0.00######%"/>
    <numFmt numFmtId="167" formatCode="#,##0.00;[Red]\-#,##0.00"/>
    <numFmt numFmtId="168" formatCode="#,##0.000000;[Red]\-#,##0.000000"/>
    <numFmt numFmtId="169" formatCode="###0.000;[Red]\-###0.000"/>
    <numFmt numFmtId="170" formatCode="###0.00;[Red]\-###0.00"/>
    <numFmt numFmtId="171" formatCode="0_ ;[Red]\-0\ "/>
  </numFmts>
  <fonts count="16" x14ac:knownFonts="1">
    <font>
      <sz val="10"/>
      <name val="Arial"/>
      <family val="2"/>
    </font>
    <font>
      <sz val="8"/>
      <name val="Arial"/>
      <family val="2"/>
    </font>
    <font>
      <sz val="12"/>
      <name val="Arial"/>
      <family val="2"/>
    </font>
    <font>
      <b/>
      <sz val="26"/>
      <name val="Arial"/>
      <family val="2"/>
    </font>
    <font>
      <b/>
      <sz val="20"/>
      <name val="Arial"/>
      <family val="2"/>
    </font>
    <font>
      <b/>
      <sz val="22"/>
      <name val="Arial"/>
      <family val="2"/>
    </font>
    <font>
      <b/>
      <sz val="16"/>
      <name val="Arial"/>
      <family val="2"/>
    </font>
    <font>
      <sz val="16"/>
      <name val="Arial"/>
      <family val="2"/>
    </font>
    <font>
      <b/>
      <sz val="14"/>
      <name val="Arial"/>
      <family val="2"/>
    </font>
    <font>
      <b/>
      <sz val="12"/>
      <name val="Arial"/>
      <family val="2"/>
    </font>
    <font>
      <sz val="12"/>
      <name val="Arial Black"/>
      <family val="2"/>
    </font>
    <font>
      <sz val="9"/>
      <name val="Arial"/>
      <family val="2"/>
    </font>
    <font>
      <b/>
      <sz val="9"/>
      <name val="Arial"/>
      <family val="2"/>
    </font>
    <font>
      <sz val="9"/>
      <color indexed="0"/>
      <name val="Arial"/>
      <family val="2"/>
    </font>
    <font>
      <b/>
      <sz val="10"/>
      <name val="Arial"/>
      <family val="2"/>
    </font>
    <font>
      <sz val="1"/>
      <name val="null"/>
      <family val="2"/>
    </font>
  </fonts>
  <fills count="9">
    <fill>
      <patternFill patternType="none"/>
    </fill>
    <fill>
      <patternFill patternType="gray125"/>
    </fill>
    <fill>
      <patternFill patternType="solid">
        <fgColor indexed="23"/>
        <bgColor indexed="64"/>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11"/>
        <bgColor indexed="64"/>
      </patternFill>
    </fill>
    <fill>
      <patternFill patternType="solid">
        <fgColor indexed="47"/>
        <bgColor indexed="64"/>
      </patternFill>
    </fill>
    <fill>
      <patternFill patternType="solid">
        <fgColor indexed="43"/>
        <bgColor indexed="64"/>
      </patternFill>
    </fill>
  </fills>
  <borders count="11">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s>
  <cellStyleXfs count="1">
    <xf numFmtId="0" fontId="0" fillId="0" borderId="0"/>
  </cellStyleXfs>
  <cellXfs count="137">
    <xf numFmtId="0" fontId="0" fillId="0" borderId="0" xfId="0"/>
    <xf numFmtId="0" fontId="0" fillId="0" borderId="0" xfId="0" applyProtection="1">
      <protection locked="0"/>
    </xf>
    <xf numFmtId="0" fontId="1" fillId="0" borderId="0" xfId="0" applyFont="1" applyAlignment="1" applyProtection="1">
      <alignment vertical="center"/>
      <protection locked="0"/>
    </xf>
    <xf numFmtId="49" fontId="2" fillId="0" borderId="0" xfId="0" applyNumberFormat="1" applyFont="1" applyAlignment="1" applyProtection="1">
      <alignment vertical="center"/>
      <protection locked="0"/>
    </xf>
    <xf numFmtId="0" fontId="2" fillId="2" borderId="0" xfId="0" applyFont="1" applyFill="1" applyAlignment="1" applyProtection="1">
      <alignment vertical="center"/>
      <protection locked="0"/>
    </xf>
    <xf numFmtId="0" fontId="4" fillId="0" borderId="0" xfId="0" applyFont="1" applyAlignment="1" applyProtection="1">
      <alignment horizontal="centerContinuous" vertical="center"/>
      <protection locked="0"/>
    </xf>
    <xf numFmtId="49" fontId="6" fillId="0" borderId="0" xfId="0" applyNumberFormat="1" applyFont="1" applyAlignment="1" applyProtection="1">
      <alignment horizontal="centerContinuous" vertical="center"/>
      <protection locked="0"/>
    </xf>
    <xf numFmtId="0" fontId="7" fillId="0" borderId="0" xfId="0" applyFont="1" applyAlignment="1" applyProtection="1">
      <alignment horizontal="centerContinuous" vertical="center"/>
      <protection locked="0"/>
    </xf>
    <xf numFmtId="0" fontId="8" fillId="2" borderId="0" xfId="0" applyFont="1" applyFill="1" applyAlignment="1" applyProtection="1">
      <alignment vertical="center"/>
      <protection locked="0"/>
    </xf>
    <xf numFmtId="15" fontId="6" fillId="0" borderId="0" xfId="0" applyNumberFormat="1" applyFont="1" applyAlignment="1" applyProtection="1">
      <alignment horizontal="right" vertical="center"/>
      <protection locked="0"/>
    </xf>
    <xf numFmtId="164" fontId="6" fillId="0" borderId="0" xfId="0" applyNumberFormat="1" applyFont="1" applyAlignment="1" applyProtection="1">
      <alignment horizontal="left" vertical="center"/>
      <protection locked="0"/>
    </xf>
    <xf numFmtId="164" fontId="2" fillId="0" borderId="0" xfId="0" applyNumberFormat="1" applyFont="1" applyAlignment="1" applyProtection="1">
      <alignment horizontal="centerContinuous" vertical="center"/>
      <protection locked="0"/>
    </xf>
    <xf numFmtId="0" fontId="1" fillId="0" borderId="0" xfId="0" applyFont="1" applyProtection="1">
      <protection locked="0"/>
    </xf>
    <xf numFmtId="49" fontId="1" fillId="0" borderId="0" xfId="0" applyNumberFormat="1" applyFont="1" applyAlignment="1" applyProtection="1">
      <alignment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horizontal="right" vertical="center"/>
      <protection locked="0"/>
    </xf>
    <xf numFmtId="0" fontId="9" fillId="0" borderId="0" xfId="0" applyFont="1" applyAlignment="1" applyProtection="1">
      <alignment horizontal="right" vertical="center" wrapText="1"/>
      <protection locked="0"/>
    </xf>
    <xf numFmtId="0" fontId="0" fillId="0" borderId="1" xfId="0" applyBorder="1" applyAlignment="1" applyProtection="1">
      <alignment vertical="center" wrapText="1"/>
      <protection locked="0"/>
    </xf>
    <xf numFmtId="0" fontId="10" fillId="0" borderId="0" xfId="0" applyFont="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0" xfId="0" applyProtection="1">
      <protection locked="0"/>
    </xf>
    <xf numFmtId="0" fontId="0" fillId="0" borderId="0" xfId="0" applyAlignment="1" applyProtection="1">
      <alignment horizontal="left" vertical="center" wrapText="1"/>
      <protection locked="0"/>
    </xf>
    <xf numFmtId="0" fontId="0" fillId="0" borderId="0" xfId="0" applyAlignment="1" applyProtection="1">
      <alignment horizontal="right" wrapText="1"/>
      <protection locked="0"/>
    </xf>
    <xf numFmtId="0" fontId="11" fillId="0" borderId="0" xfId="0" applyFont="1" applyAlignment="1" applyProtection="1">
      <alignment vertical="center"/>
      <protection locked="0"/>
    </xf>
    <xf numFmtId="0" fontId="11" fillId="0" borderId="0" xfId="0" applyFont="1" applyAlignment="1" applyProtection="1">
      <alignment horizontal="centerContinuous" vertical="center"/>
      <protection locked="0"/>
    </xf>
    <xf numFmtId="0" fontId="11" fillId="0" borderId="0" xfId="0" applyFont="1" applyAlignment="1" applyProtection="1">
      <alignment horizontal="right" vertical="center"/>
      <protection locked="0"/>
    </xf>
    <xf numFmtId="0" fontId="11" fillId="0" borderId="2" xfId="0" applyFont="1" applyBorder="1" applyAlignment="1" applyProtection="1">
      <alignment vertical="center"/>
      <protection locked="0"/>
    </xf>
    <xf numFmtId="0" fontId="11" fillId="0" borderId="2" xfId="0" applyFont="1" applyBorder="1" applyAlignment="1" applyProtection="1">
      <alignment horizontal="centerContinuous" vertical="center"/>
      <protection locked="0"/>
    </xf>
    <xf numFmtId="49" fontId="12" fillId="0" borderId="0" xfId="0" applyNumberFormat="1" applyFont="1" applyAlignment="1" applyProtection="1">
      <alignment horizontal="centerContinuous" vertical="center"/>
      <protection locked="0"/>
    </xf>
    <xf numFmtId="0" fontId="12" fillId="0" borderId="1" xfId="0" applyFont="1" applyBorder="1" applyAlignment="1" applyProtection="1">
      <alignment vertical="center"/>
      <protection locked="0"/>
    </xf>
    <xf numFmtId="0" fontId="11" fillId="0" borderId="1" xfId="0" applyFont="1" applyBorder="1" applyAlignment="1" applyProtection="1">
      <alignment vertical="center"/>
      <protection locked="0"/>
    </xf>
    <xf numFmtId="2" fontId="12" fillId="3" borderId="3" xfId="0" applyNumberFormat="1" applyFont="1" applyFill="1" applyBorder="1" applyAlignment="1" applyProtection="1">
      <alignment horizontal="center" vertical="center" wrapText="1"/>
      <protection locked="0"/>
    </xf>
    <xf numFmtId="0" fontId="11" fillId="4" borderId="3" xfId="0" applyFont="1" applyFill="1" applyBorder="1" applyAlignment="1" applyProtection="1">
      <alignment vertical="center"/>
      <protection locked="0"/>
    </xf>
    <xf numFmtId="0" fontId="11" fillId="5" borderId="3" xfId="0" applyFont="1" applyFill="1" applyBorder="1" applyAlignment="1" applyProtection="1">
      <alignment horizontal="left" vertical="center" wrapText="1"/>
      <protection locked="0"/>
    </xf>
    <xf numFmtId="0" fontId="12" fillId="0" borderId="0" xfId="0" applyFont="1" applyProtection="1">
      <protection locked="0"/>
    </xf>
    <xf numFmtId="0" fontId="12" fillId="3" borderId="4" xfId="0" applyFont="1" applyFill="1" applyBorder="1" applyAlignment="1" applyProtection="1">
      <alignment horizontal="center" vertical="center" wrapText="1"/>
      <protection locked="0"/>
    </xf>
    <xf numFmtId="0" fontId="0" fillId="0" borderId="2" xfId="0" applyBorder="1" applyProtection="1">
      <protection locked="0"/>
    </xf>
    <xf numFmtId="0" fontId="12" fillId="7" borderId="4" xfId="0" applyFont="1" applyFill="1" applyBorder="1" applyAlignment="1" applyProtection="1">
      <alignment horizontal="center" vertical="center" wrapText="1"/>
      <protection locked="0"/>
    </xf>
    <xf numFmtId="49" fontId="12" fillId="0" borderId="5" xfId="0" applyNumberFormat="1" applyFont="1" applyBorder="1" applyAlignment="1" applyProtection="1">
      <alignment horizontal="left" vertical="center"/>
      <protection locked="0"/>
    </xf>
    <xf numFmtId="49" fontId="11" fillId="0" borderId="5" xfId="0" applyNumberFormat="1" applyFont="1" applyBorder="1" applyAlignment="1" applyProtection="1">
      <alignment horizontal="left" vertical="center"/>
      <protection locked="0"/>
    </xf>
    <xf numFmtId="0" fontId="12" fillId="0" borderId="9" xfId="0" applyFont="1" applyBorder="1" applyAlignment="1" applyProtection="1">
      <alignment vertical="center" wrapText="1"/>
      <protection locked="0"/>
    </xf>
    <xf numFmtId="0" fontId="11" fillId="0" borderId="9" xfId="0" applyFont="1" applyBorder="1" applyAlignment="1" applyProtection="1">
      <alignment vertical="center" wrapText="1"/>
      <protection locked="0"/>
    </xf>
    <xf numFmtId="10" fontId="12" fillId="0" borderId="9" xfId="0" applyNumberFormat="1" applyFont="1" applyBorder="1" applyAlignment="1" applyProtection="1">
      <alignment vertical="center"/>
      <protection locked="0"/>
    </xf>
    <xf numFmtId="10" fontId="11" fillId="0" borderId="9" xfId="0" applyNumberFormat="1" applyFont="1" applyBorder="1" applyAlignment="1" applyProtection="1">
      <alignment vertical="center"/>
      <protection locked="0"/>
    </xf>
    <xf numFmtId="166" fontId="11" fillId="6" borderId="9" xfId="0" applyNumberFormat="1" applyFont="1" applyFill="1" applyBorder="1" applyAlignment="1" applyProtection="1">
      <alignment vertical="center"/>
      <protection locked="0"/>
    </xf>
    <xf numFmtId="167" fontId="12" fillId="0" borderId="9" xfId="0" applyNumberFormat="1" applyFont="1" applyBorder="1" applyAlignment="1" applyProtection="1">
      <alignment vertical="center" shrinkToFit="1"/>
      <protection locked="0"/>
    </xf>
    <xf numFmtId="167" fontId="11" fillId="0" borderId="9" xfId="0" applyNumberFormat="1" applyFont="1" applyBorder="1" applyAlignment="1" applyProtection="1">
      <alignment vertical="center" shrinkToFit="1"/>
      <protection locked="0"/>
    </xf>
    <xf numFmtId="168" fontId="12" fillId="0" borderId="9" xfId="0" applyNumberFormat="1" applyFont="1" applyBorder="1" applyAlignment="1" applyProtection="1">
      <alignment vertical="center" shrinkToFit="1"/>
      <protection locked="0"/>
    </xf>
    <xf numFmtId="168" fontId="11" fillId="0" borderId="9" xfId="0" applyNumberFormat="1" applyFont="1" applyBorder="1" applyAlignment="1" applyProtection="1">
      <alignment vertical="center" shrinkToFit="1"/>
      <protection locked="0"/>
    </xf>
    <xf numFmtId="167" fontId="11" fillId="0" borderId="6" xfId="0" applyNumberFormat="1" applyFont="1" applyBorder="1" applyAlignment="1" applyProtection="1">
      <alignment vertical="center" shrinkToFit="1"/>
      <protection locked="0"/>
    </xf>
    <xf numFmtId="49" fontId="11" fillId="0" borderId="7" xfId="0" applyNumberFormat="1" applyFont="1" applyBorder="1" applyAlignment="1" applyProtection="1">
      <alignment horizontal="left" vertical="center"/>
      <protection locked="0"/>
    </xf>
    <xf numFmtId="0" fontId="11" fillId="0" borderId="10" xfId="0" applyFont="1" applyBorder="1" applyAlignment="1" applyProtection="1">
      <alignment vertical="center" wrapText="1"/>
      <protection locked="0"/>
    </xf>
    <xf numFmtId="10" fontId="11" fillId="0" borderId="10" xfId="0" applyNumberFormat="1" applyFont="1" applyBorder="1" applyAlignment="1" applyProtection="1">
      <alignment vertical="center"/>
      <protection locked="0"/>
    </xf>
    <xf numFmtId="166" fontId="11" fillId="6" borderId="10" xfId="0" applyNumberFormat="1" applyFont="1" applyFill="1" applyBorder="1" applyAlignment="1" applyProtection="1">
      <alignment vertical="center"/>
      <protection locked="0"/>
    </xf>
    <xf numFmtId="167" fontId="11" fillId="0" borderId="10" xfId="0" applyNumberFormat="1" applyFont="1" applyBorder="1" applyAlignment="1" applyProtection="1">
      <alignment vertical="center" shrinkToFit="1"/>
      <protection locked="0"/>
    </xf>
    <xf numFmtId="168" fontId="11" fillId="0" borderId="10" xfId="0" applyNumberFormat="1" applyFont="1" applyBorder="1" applyAlignment="1" applyProtection="1">
      <alignment vertical="center" shrinkToFit="1"/>
      <protection locked="0"/>
    </xf>
    <xf numFmtId="0" fontId="12" fillId="3" borderId="4" xfId="0" applyFont="1" applyFill="1" applyBorder="1" applyAlignment="1" applyProtection="1">
      <alignment horizontal="centerContinuous" vertical="center" wrapText="1"/>
      <protection locked="0"/>
    </xf>
    <xf numFmtId="0" fontId="11" fillId="0" borderId="5" xfId="0" applyFont="1" applyBorder="1" applyAlignment="1" applyProtection="1">
      <alignment horizontal="left" vertical="center" wrapText="1"/>
      <protection locked="0"/>
    </xf>
    <xf numFmtId="0" fontId="11" fillId="0" borderId="9" xfId="0" applyFont="1" applyBorder="1" applyAlignment="1" applyProtection="1">
      <alignment horizontal="left" vertical="center" wrapText="1"/>
      <protection locked="0"/>
    </xf>
    <xf numFmtId="169" fontId="11" fillId="0" borderId="9" xfId="0" applyNumberFormat="1" applyFont="1" applyBorder="1" applyAlignment="1" applyProtection="1">
      <alignment horizontal="right" vertical="center" shrinkToFit="1"/>
      <protection locked="0"/>
    </xf>
    <xf numFmtId="170" fontId="11" fillId="0" borderId="9" xfId="0" applyNumberFormat="1" applyFont="1" applyBorder="1" applyAlignment="1" applyProtection="1">
      <alignment horizontal="right" vertical="center" shrinkToFit="1"/>
      <protection locked="0"/>
    </xf>
    <xf numFmtId="170" fontId="11" fillId="0" borderId="6" xfId="0" applyNumberFormat="1" applyFont="1" applyBorder="1" applyAlignment="1" applyProtection="1">
      <alignment horizontal="right" vertical="center" shrinkToFit="1"/>
      <protection locked="0"/>
    </xf>
    <xf numFmtId="0" fontId="12" fillId="3" borderId="7"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169" fontId="12" fillId="3" borderId="10" xfId="0" applyNumberFormat="1" applyFont="1" applyFill="1" applyBorder="1" applyAlignment="1" applyProtection="1">
      <alignment horizontal="right" vertical="center" shrinkToFit="1"/>
      <protection locked="0"/>
    </xf>
    <xf numFmtId="170" fontId="12" fillId="3" borderId="10" xfId="0" applyNumberFormat="1" applyFont="1" applyFill="1" applyBorder="1" applyAlignment="1" applyProtection="1">
      <alignment horizontal="right" vertical="center" shrinkToFit="1"/>
      <protection locked="0"/>
    </xf>
    <xf numFmtId="170" fontId="12" fillId="3" borderId="8" xfId="0" applyNumberFormat="1" applyFont="1" applyFill="1" applyBorder="1" applyAlignment="1" applyProtection="1">
      <alignment horizontal="right" vertical="center" shrinkToFit="1"/>
      <protection locked="0"/>
    </xf>
    <xf numFmtId="0" fontId="14" fillId="3" borderId="4" xfId="0" applyFont="1" applyFill="1" applyBorder="1" applyAlignment="1" applyProtection="1">
      <alignment horizontal="center" vertical="center" wrapText="1"/>
      <protection locked="0"/>
    </xf>
    <xf numFmtId="49" fontId="12" fillId="8" borderId="5" xfId="0" applyNumberFormat="1" applyFont="1" applyFill="1" applyBorder="1" applyAlignment="1" applyProtection="1">
      <alignment horizontal="left" vertical="center"/>
      <protection locked="0"/>
    </xf>
    <xf numFmtId="49" fontId="12" fillId="3" borderId="5" xfId="0" applyNumberFormat="1" applyFont="1" applyFill="1" applyBorder="1" applyAlignment="1" applyProtection="1">
      <alignment horizontal="left" vertical="center"/>
      <protection locked="0"/>
    </xf>
    <xf numFmtId="0" fontId="12" fillId="8" borderId="9" xfId="0" applyFont="1" applyFill="1" applyBorder="1" applyAlignment="1" applyProtection="1">
      <alignment horizontal="left" vertical="center" wrapText="1"/>
      <protection locked="0"/>
    </xf>
    <xf numFmtId="0" fontId="12" fillId="8" borderId="9" xfId="0" applyFont="1" applyFill="1" applyBorder="1" applyAlignment="1" applyProtection="1">
      <alignment horizontal="center" vertical="center" wrapText="1"/>
      <protection locked="0"/>
    </xf>
    <xf numFmtId="0" fontId="11" fillId="0" borderId="9" xfId="0" applyFont="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167" fontId="12" fillId="8" borderId="9" xfId="0" applyNumberFormat="1" applyFont="1" applyFill="1" applyBorder="1" applyAlignment="1" applyProtection="1">
      <alignment vertical="center" shrinkToFit="1"/>
      <protection locked="0"/>
    </xf>
    <xf numFmtId="167" fontId="12" fillId="3" borderId="9" xfId="0" applyNumberFormat="1" applyFont="1" applyFill="1" applyBorder="1" applyAlignment="1" applyProtection="1">
      <alignment vertical="center" shrinkToFit="1"/>
      <protection locked="0"/>
    </xf>
    <xf numFmtId="167" fontId="12" fillId="8" borderId="6" xfId="0" applyNumberFormat="1" applyFont="1" applyFill="1" applyBorder="1" applyAlignment="1" applyProtection="1">
      <alignment vertical="center" shrinkToFit="1"/>
      <protection locked="0"/>
    </xf>
    <xf numFmtId="49" fontId="12" fillId="3" borderId="7" xfId="0" applyNumberFormat="1" applyFont="1" applyFill="1" applyBorder="1" applyAlignment="1" applyProtection="1">
      <alignment horizontal="left" vertical="center"/>
      <protection locked="0"/>
    </xf>
    <xf numFmtId="0" fontId="12" fillId="3" borderId="10" xfId="0" applyFont="1" applyFill="1" applyBorder="1" applyAlignment="1" applyProtection="1">
      <alignment horizontal="center" vertical="center" wrapText="1"/>
      <protection locked="0"/>
    </xf>
    <xf numFmtId="167" fontId="12" fillId="3" borderId="10" xfId="0" applyNumberFormat="1" applyFont="1" applyFill="1" applyBorder="1" applyAlignment="1" applyProtection="1">
      <alignment vertical="center" shrinkToFit="1"/>
      <protection locked="0"/>
    </xf>
    <xf numFmtId="167" fontId="12" fillId="3" borderId="8" xfId="0" applyNumberFormat="1" applyFont="1" applyFill="1" applyBorder="1" applyAlignment="1" applyProtection="1">
      <alignment vertical="center" shrinkToFit="1"/>
      <protection locked="0"/>
    </xf>
    <xf numFmtId="0" fontId="11" fillId="0" borderId="0" xfId="0" applyFont="1" applyAlignment="1" applyProtection="1">
      <alignment horizontal="center" vertical="center" wrapText="1"/>
      <protection locked="0"/>
    </xf>
    <xf numFmtId="49" fontId="12" fillId="4" borderId="5" xfId="0" applyNumberFormat="1" applyFont="1" applyFill="1" applyBorder="1" applyAlignment="1" applyProtection="1">
      <alignment horizontal="left" vertical="center"/>
      <protection locked="0"/>
    </xf>
    <xf numFmtId="49" fontId="12" fillId="4" borderId="9" xfId="0" applyNumberFormat="1" applyFont="1" applyFill="1" applyBorder="1" applyAlignment="1" applyProtection="1">
      <alignment horizontal="left" vertical="center"/>
      <protection locked="0"/>
    </xf>
    <xf numFmtId="49" fontId="11" fillId="0" borderId="9" xfId="0" applyNumberFormat="1" applyFont="1" applyBorder="1" applyAlignment="1" applyProtection="1">
      <alignment horizontal="left" vertical="center"/>
      <protection locked="0"/>
    </xf>
    <xf numFmtId="0" fontId="12" fillId="0" borderId="9" xfId="0" applyFont="1" applyBorder="1" applyAlignment="1" applyProtection="1">
      <alignment horizontal="center" vertical="center" wrapText="1"/>
      <protection locked="0"/>
    </xf>
    <xf numFmtId="0" fontId="12" fillId="4" borderId="9" xfId="0" applyFont="1" applyFill="1" applyBorder="1" applyAlignment="1" applyProtection="1">
      <alignment horizontal="center" vertical="center" wrapText="1"/>
      <protection locked="0"/>
    </xf>
    <xf numFmtId="171" fontId="12" fillId="0" borderId="9" xfId="0" applyNumberFormat="1" applyFont="1" applyBorder="1" applyAlignment="1" applyProtection="1">
      <alignment horizontal="center" vertical="center"/>
      <protection locked="0"/>
    </xf>
    <xf numFmtId="171" fontId="12" fillId="3" borderId="9" xfId="0" applyNumberFormat="1" applyFont="1" applyFill="1" applyBorder="1" applyAlignment="1" applyProtection="1">
      <alignment horizontal="center" vertical="center"/>
      <protection locked="0"/>
    </xf>
    <xf numFmtId="171" fontId="12" fillId="8" borderId="9" xfId="0" applyNumberFormat="1" applyFont="1" applyFill="1" applyBorder="1" applyAlignment="1" applyProtection="1">
      <alignment horizontal="center" vertical="center"/>
      <protection locked="0"/>
    </xf>
    <xf numFmtId="171" fontId="12" fillId="4" borderId="9" xfId="0" applyNumberFormat="1" applyFont="1" applyFill="1" applyBorder="1" applyAlignment="1" applyProtection="1">
      <alignment horizontal="center" vertical="center"/>
      <protection locked="0"/>
    </xf>
    <xf numFmtId="171" fontId="11" fillId="0" borderId="9" xfId="0" applyNumberFormat="1" applyFont="1" applyBorder="1" applyAlignment="1" applyProtection="1">
      <alignment horizontal="center" vertical="center"/>
      <protection locked="0"/>
    </xf>
    <xf numFmtId="167" fontId="12" fillId="4" borderId="9" xfId="0" applyNumberFormat="1" applyFont="1" applyFill="1" applyBorder="1" applyAlignment="1" applyProtection="1">
      <alignment vertical="center" shrinkToFit="1"/>
      <protection locked="0"/>
    </xf>
    <xf numFmtId="166" fontId="12" fillId="0" borderId="9" xfId="0" applyNumberFormat="1" applyFont="1" applyBorder="1" applyAlignment="1" applyProtection="1">
      <alignment vertical="center" shrinkToFit="1"/>
      <protection locked="0"/>
    </xf>
    <xf numFmtId="166" fontId="12" fillId="3" borderId="9" xfId="0" applyNumberFormat="1" applyFont="1" applyFill="1" applyBorder="1" applyAlignment="1" applyProtection="1">
      <alignment vertical="center" shrinkToFit="1"/>
      <protection locked="0"/>
    </xf>
    <xf numFmtId="166" fontId="12" fillId="8" borderId="9" xfId="0" applyNumberFormat="1" applyFont="1" applyFill="1" applyBorder="1" applyAlignment="1" applyProtection="1">
      <alignment vertical="center" shrinkToFit="1"/>
      <protection locked="0"/>
    </xf>
    <xf numFmtId="166" fontId="12" fillId="4" borderId="9" xfId="0" applyNumberFormat="1" applyFont="1" applyFill="1" applyBorder="1" applyAlignment="1" applyProtection="1">
      <alignment vertical="center" shrinkToFit="1"/>
      <protection locked="0"/>
    </xf>
    <xf numFmtId="166" fontId="11" fillId="0" borderId="9" xfId="0" applyNumberFormat="1" applyFont="1" applyBorder="1" applyAlignment="1" applyProtection="1">
      <alignment vertical="center" shrinkToFit="1"/>
      <protection locked="0"/>
    </xf>
    <xf numFmtId="168" fontId="12" fillId="3" borderId="9" xfId="0" applyNumberFormat="1" applyFont="1" applyFill="1" applyBorder="1" applyAlignment="1" applyProtection="1">
      <alignment vertical="center" shrinkToFit="1"/>
      <protection locked="0"/>
    </xf>
    <xf numFmtId="168" fontId="12" fillId="8" borderId="9" xfId="0" applyNumberFormat="1" applyFont="1" applyFill="1" applyBorder="1" applyAlignment="1" applyProtection="1">
      <alignment vertical="center" shrinkToFit="1"/>
      <protection locked="0"/>
    </xf>
    <xf numFmtId="168" fontId="12" fillId="4" borderId="9" xfId="0" applyNumberFormat="1" applyFont="1" applyFill="1" applyBorder="1" applyAlignment="1" applyProtection="1">
      <alignment vertical="center" shrinkToFit="1"/>
      <protection locked="0"/>
    </xf>
    <xf numFmtId="40" fontId="12" fillId="0" borderId="6" xfId="0" applyNumberFormat="1" applyFont="1" applyBorder="1" applyAlignment="1" applyProtection="1">
      <alignment horizontal="left" vertical="center" wrapText="1"/>
      <protection locked="0"/>
    </xf>
    <xf numFmtId="40" fontId="12" fillId="3" borderId="6" xfId="0" applyNumberFormat="1" applyFont="1" applyFill="1" applyBorder="1" applyAlignment="1" applyProtection="1">
      <alignment horizontal="left" vertical="center" wrapText="1"/>
      <protection locked="0"/>
    </xf>
    <xf numFmtId="40" fontId="12" fillId="8" borderId="6" xfId="0" applyNumberFormat="1" applyFont="1" applyFill="1" applyBorder="1" applyAlignment="1" applyProtection="1">
      <alignment horizontal="left" vertical="center" wrapText="1"/>
      <protection locked="0"/>
    </xf>
    <xf numFmtId="40" fontId="12" fillId="4" borderId="6" xfId="0" applyNumberFormat="1" applyFont="1" applyFill="1" applyBorder="1" applyAlignment="1" applyProtection="1">
      <alignment horizontal="left" vertical="center" wrapText="1"/>
      <protection locked="0"/>
    </xf>
    <xf numFmtId="40" fontId="11" fillId="0" borderId="6" xfId="0" applyNumberFormat="1" applyFont="1" applyBorder="1" applyAlignment="1" applyProtection="1">
      <alignment horizontal="left" vertical="center" wrapText="1"/>
      <protection locked="0"/>
    </xf>
    <xf numFmtId="0" fontId="15" fillId="0" borderId="0" xfId="0" applyFont="1" applyAlignment="1" applyProtection="1">
      <alignment vertical="center"/>
      <protection locked="0"/>
    </xf>
    <xf numFmtId="49" fontId="11" fillId="0" borderId="10" xfId="0" applyNumberFormat="1" applyFont="1" applyBorder="1" applyAlignment="1" applyProtection="1">
      <alignment horizontal="left" vertical="center"/>
      <protection locked="0"/>
    </xf>
    <xf numFmtId="0" fontId="11" fillId="0" borderId="10" xfId="0" applyFont="1" applyBorder="1" applyAlignment="1" applyProtection="1">
      <alignment horizontal="left" vertical="center" wrapText="1"/>
      <protection locked="0"/>
    </xf>
    <xf numFmtId="0" fontId="11" fillId="0" borderId="10" xfId="0" applyFont="1" applyBorder="1" applyAlignment="1" applyProtection="1">
      <alignment horizontal="center" vertical="center" wrapText="1"/>
      <protection locked="0"/>
    </xf>
    <xf numFmtId="171" fontId="11" fillId="0" borderId="10" xfId="0" applyNumberFormat="1" applyFont="1" applyBorder="1" applyAlignment="1" applyProtection="1">
      <alignment horizontal="center" vertical="center"/>
      <protection locked="0"/>
    </xf>
    <xf numFmtId="166" fontId="11" fillId="0" borderId="10" xfId="0" applyNumberFormat="1" applyFont="1" applyBorder="1" applyAlignment="1" applyProtection="1">
      <alignment vertical="center" shrinkToFit="1"/>
      <protection locked="0"/>
    </xf>
    <xf numFmtId="40" fontId="11" fillId="0" borderId="8" xfId="0" applyNumberFormat="1" applyFont="1" applyBorder="1" applyAlignment="1" applyProtection="1">
      <alignment horizontal="left" vertical="center" wrapText="1"/>
      <protection locked="0"/>
    </xf>
    <xf numFmtId="0" fontId="5" fillId="0" borderId="0" xfId="0" applyFont="1" applyAlignment="1" applyProtection="1">
      <alignment horizontal="center" wrapText="1"/>
      <protection locked="0"/>
    </xf>
    <xf numFmtId="0" fontId="3" fillId="0" borderId="0" xfId="0"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167" fontId="11" fillId="0" borderId="6" xfId="0" applyNumberFormat="1" applyFont="1" applyBorder="1" applyAlignment="1" applyProtection="1">
      <alignment vertical="center" shrinkToFit="1"/>
      <protection locked="0"/>
    </xf>
    <xf numFmtId="167" fontId="12" fillId="0" borderId="6" xfId="0" applyNumberFormat="1" applyFont="1" applyBorder="1" applyAlignment="1" applyProtection="1">
      <alignment vertical="center" shrinkToFit="1"/>
      <protection locked="0"/>
    </xf>
    <xf numFmtId="167" fontId="11" fillId="0" borderId="8" xfId="0" applyNumberFormat="1" applyFont="1" applyBorder="1" applyAlignment="1" applyProtection="1">
      <alignment vertical="center" shrinkToFit="1"/>
      <protection locked="0"/>
    </xf>
    <xf numFmtId="49" fontId="11" fillId="0" borderId="5" xfId="0" applyNumberFormat="1" applyFont="1" applyBorder="1" applyAlignment="1" applyProtection="1">
      <alignment horizontal="left" vertical="center"/>
      <protection locked="0"/>
    </xf>
    <xf numFmtId="49" fontId="12" fillId="0" borderId="5" xfId="0" applyNumberFormat="1" applyFont="1" applyBorder="1" applyAlignment="1" applyProtection="1">
      <alignment horizontal="left" vertical="center"/>
      <protection locked="0"/>
    </xf>
    <xf numFmtId="49" fontId="11" fillId="0" borderId="7" xfId="0" applyNumberFormat="1" applyFont="1" applyBorder="1" applyAlignment="1" applyProtection="1">
      <alignment horizontal="left" vertical="center"/>
      <protection locked="0"/>
    </xf>
    <xf numFmtId="0" fontId="12" fillId="3" borderId="4" xfId="0" applyFont="1" applyFill="1" applyBorder="1" applyAlignment="1" applyProtection="1">
      <alignment horizontal="center" vertical="center" wrapText="1"/>
      <protection locked="0"/>
    </xf>
    <xf numFmtId="0" fontId="13" fillId="4" borderId="5" xfId="0" applyFont="1" applyFill="1" applyBorder="1" applyAlignment="1" applyProtection="1">
      <alignment vertical="center"/>
      <protection locked="0"/>
    </xf>
    <xf numFmtId="0" fontId="13" fillId="4" borderId="7" xfId="0" applyFont="1" applyFill="1" applyBorder="1" applyAlignment="1" applyProtection="1">
      <alignment vertical="center"/>
      <protection locked="0"/>
    </xf>
    <xf numFmtId="165" fontId="13" fillId="6" borderId="6" xfId="0" applyNumberFormat="1" applyFont="1" applyFill="1" applyBorder="1" applyAlignment="1" applyProtection="1">
      <alignment horizontal="right" vertical="center"/>
      <protection locked="0"/>
    </xf>
    <xf numFmtId="165" fontId="13" fillId="6" borderId="8" xfId="0" applyNumberFormat="1" applyFont="1" applyFill="1" applyBorder="1" applyAlignment="1" applyProtection="1">
      <alignment horizontal="right" vertical="center"/>
      <protection locked="0"/>
    </xf>
    <xf numFmtId="49" fontId="13" fillId="6" borderId="6" xfId="0" applyNumberFormat="1" applyFont="1" applyFill="1" applyBorder="1" applyAlignment="1" applyProtection="1">
      <alignment vertical="center"/>
      <protection locked="0"/>
    </xf>
    <xf numFmtId="49" fontId="13" fillId="6" borderId="8" xfId="0" applyNumberFormat="1" applyFont="1" applyFill="1" applyBorder="1" applyAlignment="1" applyProtection="1">
      <alignment vertical="center"/>
      <protection locked="0"/>
    </xf>
    <xf numFmtId="49" fontId="12" fillId="8" borderId="9" xfId="0" applyNumberFormat="1" applyFont="1" applyFill="1" applyBorder="1" applyAlignment="1" applyProtection="1">
      <alignment horizontal="left" vertical="center"/>
      <protection locked="0"/>
    </xf>
    <xf numFmtId="0" fontId="12" fillId="8" borderId="9" xfId="0" applyFont="1" applyFill="1" applyBorder="1" applyAlignment="1" applyProtection="1">
      <alignment horizontal="left" vertical="center" wrapText="1"/>
      <protection locked="0"/>
    </xf>
    <xf numFmtId="49" fontId="12" fillId="0" borderId="9" xfId="0" applyNumberFormat="1" applyFont="1" applyBorder="1" applyAlignment="1" applyProtection="1">
      <alignment horizontal="left" vertical="center"/>
      <protection locked="0"/>
    </xf>
    <xf numFmtId="0" fontId="12" fillId="0" borderId="9" xfId="0" applyFont="1" applyBorder="1" applyAlignment="1" applyProtection="1">
      <alignment horizontal="left" vertical="center" wrapText="1"/>
      <protection locked="0"/>
    </xf>
    <xf numFmtId="49" fontId="12" fillId="3" borderId="9" xfId="0" applyNumberFormat="1" applyFont="1" applyFill="1" applyBorder="1" applyAlignment="1" applyProtection="1">
      <alignment horizontal="left" vertical="center"/>
      <protection locked="0"/>
    </xf>
    <xf numFmtId="0" fontId="12" fillId="3" borderId="9" xfId="0" applyFont="1" applyFill="1" applyBorder="1" applyAlignment="1" applyProtection="1">
      <alignment horizontal="left" vertical="center" wrapText="1"/>
      <protection locked="0"/>
    </xf>
    <xf numFmtId="49" fontId="12" fillId="4" borderId="9" xfId="0" applyNumberFormat="1" applyFont="1" applyFill="1" applyBorder="1" applyAlignment="1" applyProtection="1">
      <alignment horizontal="left" vertical="center"/>
      <protection locked="0"/>
    </xf>
    <xf numFmtId="0" fontId="12" fillId="4" borderId="9"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6"/>
  <sheetViews>
    <sheetView topLeftCell="B2" zoomScale="90" zoomScaleNormal="90" workbookViewId="0">
      <selection activeCell="C6" sqref="C6:D6"/>
    </sheetView>
  </sheetViews>
  <sheetFormatPr baseColWidth="10" defaultColWidth="9.140625" defaultRowHeight="12.75" x14ac:dyDescent="0.2"/>
  <cols>
    <col min="1" max="1" width="4" style="1" hidden="1" customWidth="1"/>
    <col min="2" max="2" width="8.7109375" style="1" customWidth="1"/>
    <col min="3" max="4" width="36.5703125" style="1" customWidth="1"/>
    <col min="5" max="5" width="8.7109375" style="1" customWidth="1"/>
    <col min="6" max="6" width="3.42578125" style="1" customWidth="1"/>
    <col min="7" max="16384" width="9.140625" style="1"/>
  </cols>
  <sheetData>
    <row r="1" spans="1:6" ht="16.5" hidden="1" customHeight="1" x14ac:dyDescent="0.2">
      <c r="A1" s="2"/>
      <c r="B1" s="2"/>
      <c r="C1" s="2"/>
      <c r="D1" s="2"/>
      <c r="E1" s="2"/>
      <c r="F1" s="2"/>
    </row>
    <row r="2" spans="1:6" ht="15.75" customHeight="1" x14ac:dyDescent="0.2">
      <c r="A2" s="2"/>
      <c r="B2" s="3"/>
      <c r="C2" s="2"/>
      <c r="D2" s="2"/>
      <c r="E2" s="2"/>
      <c r="F2" s="4"/>
    </row>
    <row r="3" spans="1:6" ht="21" customHeight="1" x14ac:dyDescent="0.2">
      <c r="A3" s="2" t="s">
        <v>195</v>
      </c>
      <c r="B3" s="2"/>
      <c r="C3" s="2"/>
      <c r="D3" s="2"/>
      <c r="E3" s="2"/>
      <c r="F3" s="4"/>
    </row>
    <row r="4" spans="1:6" ht="21" hidden="1" customHeight="1" x14ac:dyDescent="0.2">
      <c r="A4" s="2"/>
      <c r="B4" s="2"/>
      <c r="C4" s="2"/>
      <c r="D4" s="2"/>
      <c r="E4" s="2"/>
      <c r="F4" s="4"/>
    </row>
    <row r="5" spans="1:6" ht="45" customHeight="1" x14ac:dyDescent="0.2">
      <c r="A5" s="2" t="s">
        <v>196</v>
      </c>
      <c r="B5" s="114" t="str">
        <f>IF(VALUE($A$1)=1,"BILL OF QUANTITY","PRICE SCHEDULE")</f>
        <v>PRICE SCHEDULE</v>
      </c>
      <c r="C5" s="114"/>
      <c r="D5" s="114"/>
      <c r="E5" s="114"/>
      <c r="F5" s="4"/>
    </row>
    <row r="6" spans="1:6" ht="277.5" customHeight="1" x14ac:dyDescent="0.4">
      <c r="A6" s="2"/>
      <c r="B6" s="5"/>
      <c r="C6" s="113" t="s">
        <v>197</v>
      </c>
      <c r="D6" s="113"/>
      <c r="E6" s="5"/>
      <c r="F6" s="4"/>
    </row>
    <row r="7" spans="1:6" ht="39.75" customHeight="1" x14ac:dyDescent="0.2">
      <c r="A7" s="2"/>
      <c r="B7" s="6"/>
      <c r="C7" s="7"/>
      <c r="D7" s="7"/>
      <c r="E7" s="7"/>
      <c r="F7" s="4"/>
    </row>
    <row r="8" spans="1:6" ht="26.25" customHeight="1" x14ac:dyDescent="0.2">
      <c r="A8" s="2"/>
      <c r="B8" s="115" t="str">
        <f>""&amp;PRICEID</f>
        <v>0000Pdavid.avila201611300002</v>
      </c>
      <c r="C8" s="115"/>
      <c r="D8" s="115"/>
      <c r="E8" s="115"/>
      <c r="F8" s="4"/>
    </row>
    <row r="9" spans="1:6" ht="32.25" customHeight="1" x14ac:dyDescent="0.2">
      <c r="A9" s="2"/>
      <c r="B9" s="115"/>
      <c r="C9" s="115"/>
      <c r="D9" s="115"/>
      <c r="E9" s="115"/>
      <c r="F9" s="8"/>
    </row>
    <row r="10" spans="1:6" ht="26.25" customHeight="1" x14ac:dyDescent="0.2">
      <c r="A10" s="2"/>
      <c r="B10" s="115" t="str">
        <f>""&amp;AGENTID</f>
        <v>Colombia Rep Office</v>
      </c>
      <c r="C10" s="115"/>
      <c r="D10" s="115"/>
      <c r="E10" s="115"/>
      <c r="F10" s="4"/>
    </row>
    <row r="11" spans="1:6" ht="19.5" customHeight="1" x14ac:dyDescent="0.2">
      <c r="A11" s="2"/>
      <c r="B11" s="115"/>
      <c r="C11" s="115"/>
      <c r="D11" s="115"/>
      <c r="E11" s="115"/>
      <c r="F11" s="8"/>
    </row>
    <row r="12" spans="1:6" ht="39.75" customHeight="1" x14ac:dyDescent="0.2">
      <c r="A12" s="2"/>
      <c r="B12" s="2"/>
      <c r="C12" s="9"/>
      <c r="D12" s="10"/>
      <c r="E12" s="2"/>
      <c r="F12" s="4"/>
    </row>
    <row r="13" spans="1:6" ht="39.75" customHeight="1" x14ac:dyDescent="0.2">
      <c r="A13" s="2"/>
      <c r="B13" s="2"/>
      <c r="C13" s="2"/>
      <c r="D13" s="2"/>
      <c r="E13" s="2"/>
      <c r="F13" s="4"/>
    </row>
    <row r="14" spans="1:6" ht="39.75" customHeight="1" x14ac:dyDescent="0.2">
      <c r="A14" s="2"/>
      <c r="B14" s="2"/>
      <c r="C14" s="6" t="s">
        <v>198</v>
      </c>
      <c r="D14" s="6"/>
      <c r="E14" s="2"/>
      <c r="F14" s="4"/>
    </row>
    <row r="15" spans="1:6" ht="27" customHeight="1" x14ac:dyDescent="0.2">
      <c r="A15" s="2"/>
      <c r="B15" s="2"/>
      <c r="C15" s="6" t="s">
        <v>199</v>
      </c>
      <c r="D15" s="11"/>
      <c r="E15" s="2"/>
      <c r="F15" s="4"/>
    </row>
    <row r="16" spans="1:6" ht="18" customHeight="1" x14ac:dyDescent="0.2">
      <c r="A16" s="2"/>
      <c r="B16" s="4"/>
      <c r="C16" s="4"/>
      <c r="D16" s="4"/>
      <c r="E16" s="4"/>
      <c r="F16" s="4"/>
    </row>
  </sheetData>
  <mergeCells count="4">
    <mergeCell ref="C6:D6"/>
    <mergeCell ref="B5:E5"/>
    <mergeCell ref="B8:E9"/>
    <mergeCell ref="B10:E11"/>
  </mergeCells>
  <printOptions horizontalCentered="1"/>
  <pageMargins left="0.51181102362204722" right="0.51181102362204722" top="0.51181102362204722" bottom="0.47244094488188981" header="7.874015748031496E-2" footer="0.1968503937007874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25"/>
  <sheetViews>
    <sheetView topLeftCell="B8" workbookViewId="0">
      <selection activeCell="F26" sqref="F26"/>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8" width="9.140625" style="1"/>
    <col min="19" max="19" width="67.5703125" style="1" hidden="1" customWidth="1"/>
    <col min="20"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373</v>
      </c>
      <c r="C10" s="38"/>
      <c r="D10" s="131" t="s">
        <v>64</v>
      </c>
      <c r="E10" s="131"/>
      <c r="F10" s="132"/>
      <c r="G10" s="85"/>
      <c r="H10" s="87"/>
      <c r="I10" s="45"/>
      <c r="J10" s="45"/>
      <c r="K10" s="93"/>
      <c r="L10" s="93"/>
      <c r="M10" s="47"/>
      <c r="N10" s="45"/>
      <c r="O10" s="45"/>
      <c r="P10" s="101"/>
      <c r="Q10" s="106"/>
    </row>
    <row r="11" spans="1:17" x14ac:dyDescent="0.2">
      <c r="A11" t="s">
        <v>374</v>
      </c>
      <c r="C11" s="69" t="s">
        <v>286</v>
      </c>
      <c r="D11" s="133" t="s">
        <v>64</v>
      </c>
      <c r="E11" s="133"/>
      <c r="F11" s="134"/>
      <c r="G11" s="73"/>
      <c r="H11" s="88">
        <v>1</v>
      </c>
      <c r="I11" s="75">
        <f>IF(OR(H11="",J11=""),"",J11/IF(H11=0,1,H11))</f>
        <v>32066.105</v>
      </c>
      <c r="J11" s="75">
        <f>J12+J14+J16+J18+J20+J23</f>
        <v>32066.105</v>
      </c>
      <c r="K11" s="94"/>
      <c r="L11" s="94"/>
      <c r="M11" s="98"/>
      <c r="N11" s="75">
        <f>IF(OR(H11="",O11=""),"",O11/IF(H11=0,1,H11))</f>
        <v>9429.2799999999988</v>
      </c>
      <c r="O11" s="75">
        <f>O12+O14+O16+O18+O20+O23</f>
        <v>9429.2799999999988</v>
      </c>
      <c r="P11" s="102"/>
      <c r="Q11" s="106"/>
    </row>
    <row r="12" spans="1:17" outlineLevel="1" x14ac:dyDescent="0.2">
      <c r="A12" t="s">
        <v>375</v>
      </c>
      <c r="C12" s="68" t="s">
        <v>376</v>
      </c>
      <c r="D12" s="129" t="s">
        <v>118</v>
      </c>
      <c r="E12" s="129"/>
      <c r="F12" s="130"/>
      <c r="G12" s="71"/>
      <c r="H12" s="89"/>
      <c r="I12" s="74"/>
      <c r="J12" s="74">
        <f>SUBTOTAL(9,J13:J13)</f>
        <v>12386</v>
      </c>
      <c r="K12" s="95"/>
      <c r="L12" s="95"/>
      <c r="M12" s="99"/>
      <c r="N12" s="74"/>
      <c r="O12" s="74">
        <f>SUBTOTAL(9,O13:O13)</f>
        <v>3344.22</v>
      </c>
      <c r="P12" s="103"/>
      <c r="Q12" s="106"/>
    </row>
    <row r="13" spans="1:17" ht="36" outlineLevel="2" x14ac:dyDescent="0.2">
      <c r="A13" t="s">
        <v>377</v>
      </c>
      <c r="C13" s="39"/>
      <c r="D13" s="84" t="s">
        <v>119</v>
      </c>
      <c r="E13" s="58" t="s">
        <v>129</v>
      </c>
      <c r="F13" s="58" t="s">
        <v>136</v>
      </c>
      <c r="G13" s="72">
        <v>1</v>
      </c>
      <c r="H13" s="91">
        <f>G13*H11</f>
        <v>1</v>
      </c>
      <c r="I13" s="46">
        <v>12386</v>
      </c>
      <c r="J13" s="46">
        <f>I13*H13</f>
        <v>12386</v>
      </c>
      <c r="K13" s="97">
        <f>ROUND(Discount!F47,10)</f>
        <v>0.27</v>
      </c>
      <c r="L13" s="97">
        <f>1-ROUND(Discount!F47,10)</f>
        <v>0.73</v>
      </c>
      <c r="M13" s="48">
        <f>PHUAWEIHW1</f>
        <v>1</v>
      </c>
      <c r="N13" s="46">
        <f>ROUND(I13*QF_SYS_EXCHANGE1*Discount!F47*PHUAWEIHW1,2)</f>
        <v>3344.22</v>
      </c>
      <c r="O13" s="46">
        <f>N13*H13</f>
        <v>3344.22</v>
      </c>
      <c r="P13" s="105" t="s">
        <v>35</v>
      </c>
      <c r="Q13" s="106"/>
    </row>
    <row r="14" spans="1:17" outlineLevel="1" x14ac:dyDescent="0.2">
      <c r="A14" t="s">
        <v>378</v>
      </c>
      <c r="C14" s="68" t="s">
        <v>379</v>
      </c>
      <c r="D14" s="129" t="s">
        <v>120</v>
      </c>
      <c r="E14" s="129"/>
      <c r="F14" s="130"/>
      <c r="G14" s="71"/>
      <c r="H14" s="89"/>
      <c r="I14" s="74"/>
      <c r="J14" s="74">
        <f>SUBTOTAL(9,J15:J15)</f>
        <v>4710</v>
      </c>
      <c r="K14" s="95"/>
      <c r="L14" s="95"/>
      <c r="M14" s="99"/>
      <c r="N14" s="74"/>
      <c r="O14" s="74">
        <f>SUBTOTAL(9,O15:O15)</f>
        <v>1271.7</v>
      </c>
      <c r="P14" s="103"/>
      <c r="Q14" s="106"/>
    </row>
    <row r="15" spans="1:17" outlineLevel="2" x14ac:dyDescent="0.2">
      <c r="A15" t="s">
        <v>380</v>
      </c>
      <c r="C15" s="39"/>
      <c r="D15" s="84" t="s">
        <v>121</v>
      </c>
      <c r="E15" s="58" t="s">
        <v>130</v>
      </c>
      <c r="F15" s="58" t="s">
        <v>137</v>
      </c>
      <c r="G15" s="72">
        <v>2</v>
      </c>
      <c r="H15" s="91">
        <f>G15*H11</f>
        <v>2</v>
      </c>
      <c r="I15" s="46">
        <v>2355</v>
      </c>
      <c r="J15" s="46">
        <f>I15*H15</f>
        <v>4710</v>
      </c>
      <c r="K15" s="97">
        <f>ROUND(Discount!F47,10)</f>
        <v>0.27</v>
      </c>
      <c r="L15" s="97">
        <f>1-ROUND(Discount!F47,10)</f>
        <v>0.73</v>
      </c>
      <c r="M15" s="48">
        <f>PHUAWEIHW1</f>
        <v>1</v>
      </c>
      <c r="N15" s="46">
        <f>ROUND(I15*QF_SYS_EXCHANGE1*Discount!F47*PHUAWEIHW1,2)</f>
        <v>635.85</v>
      </c>
      <c r="O15" s="46">
        <f>N15*H15</f>
        <v>1271.7</v>
      </c>
      <c r="P15" s="105" t="s">
        <v>35</v>
      </c>
      <c r="Q15" s="106"/>
    </row>
    <row r="16" spans="1:17" outlineLevel="1" x14ac:dyDescent="0.2">
      <c r="A16" t="s">
        <v>381</v>
      </c>
      <c r="C16" s="68" t="s">
        <v>382</v>
      </c>
      <c r="D16" s="129" t="s">
        <v>122</v>
      </c>
      <c r="E16" s="129"/>
      <c r="F16" s="130"/>
      <c r="G16" s="71"/>
      <c r="H16" s="89"/>
      <c r="I16" s="74"/>
      <c r="J16" s="74">
        <f>SUBTOTAL(9,J17:J17)</f>
        <v>10824</v>
      </c>
      <c r="K16" s="95"/>
      <c r="L16" s="95"/>
      <c r="M16" s="99"/>
      <c r="N16" s="74"/>
      <c r="O16" s="74">
        <f>SUBTOTAL(9,O17:O17)</f>
        <v>2922.48</v>
      </c>
      <c r="P16" s="103"/>
      <c r="Q16" s="106"/>
    </row>
    <row r="17" spans="1:19" outlineLevel="2" x14ac:dyDescent="0.2">
      <c r="A17" t="s">
        <v>383</v>
      </c>
      <c r="C17" s="39"/>
      <c r="D17" s="84" t="s">
        <v>123</v>
      </c>
      <c r="E17" s="58" t="s">
        <v>131</v>
      </c>
      <c r="F17" s="58" t="s">
        <v>138</v>
      </c>
      <c r="G17" s="72">
        <v>6</v>
      </c>
      <c r="H17" s="91">
        <f>G17*H11</f>
        <v>6</v>
      </c>
      <c r="I17" s="46">
        <v>1804</v>
      </c>
      <c r="J17" s="46">
        <f>I17*H17</f>
        <v>10824</v>
      </c>
      <c r="K17" s="97">
        <f>ROUND(Discount!F47,10)</f>
        <v>0.27</v>
      </c>
      <c r="L17" s="97">
        <f>1-ROUND(Discount!F47,10)</f>
        <v>0.73</v>
      </c>
      <c r="M17" s="48">
        <f>PHUAWEIHW1</f>
        <v>1</v>
      </c>
      <c r="N17" s="46">
        <f>ROUND(I17*QF_SYS_EXCHANGE1*Discount!F47*PHUAWEIHW1,2)</f>
        <v>487.08</v>
      </c>
      <c r="O17" s="46">
        <f>N17*H17</f>
        <v>2922.48</v>
      </c>
      <c r="P17" s="105" t="s">
        <v>35</v>
      </c>
      <c r="Q17" s="106"/>
    </row>
    <row r="18" spans="1:19" outlineLevel="1" x14ac:dyDescent="0.2">
      <c r="A18" t="s">
        <v>384</v>
      </c>
      <c r="C18" s="68" t="s">
        <v>385</v>
      </c>
      <c r="D18" s="129" t="s">
        <v>84</v>
      </c>
      <c r="E18" s="129"/>
      <c r="F18" s="130"/>
      <c r="G18" s="71"/>
      <c r="H18" s="89"/>
      <c r="I18" s="74"/>
      <c r="J18" s="74">
        <f>SUBTOTAL(9,J19:J19)</f>
        <v>88</v>
      </c>
      <c r="K18" s="95"/>
      <c r="L18" s="95"/>
      <c r="M18" s="99"/>
      <c r="N18" s="74"/>
      <c r="O18" s="74">
        <f>SUBTOTAL(9,O19:O19)</f>
        <v>80.959999999999994</v>
      </c>
      <c r="P18" s="103"/>
      <c r="Q18" s="106"/>
    </row>
    <row r="19" spans="1:19" ht="36" outlineLevel="2" x14ac:dyDescent="0.2">
      <c r="A19" t="s">
        <v>386</v>
      </c>
      <c r="C19" s="39"/>
      <c r="D19" s="84" t="s">
        <v>124</v>
      </c>
      <c r="E19" s="58" t="s">
        <v>132</v>
      </c>
      <c r="F19" s="58" t="s">
        <v>139</v>
      </c>
      <c r="G19" s="72">
        <v>8</v>
      </c>
      <c r="H19" s="91">
        <f>G19*H11</f>
        <v>8</v>
      </c>
      <c r="I19" s="46">
        <v>11</v>
      </c>
      <c r="J19" s="46">
        <f>I19*H19</f>
        <v>88</v>
      </c>
      <c r="K19" s="97">
        <f>ROUND(Discount!F49,10)</f>
        <v>0.92</v>
      </c>
      <c r="L19" s="97">
        <f>1-ROUND(Discount!F49,10)</f>
        <v>7.999999999999996E-2</v>
      </c>
      <c r="M19" s="48">
        <f>POUTSOURINGHW1</f>
        <v>1</v>
      </c>
      <c r="N19" s="46">
        <f>ROUND(I19*QF_SYS_EXCHANGE1*Discount!F49*POUTSOURINGHW1,2)</f>
        <v>10.119999999999999</v>
      </c>
      <c r="O19" s="46">
        <f>N19*H19</f>
        <v>80.959999999999994</v>
      </c>
      <c r="P19" s="105" t="s">
        <v>29</v>
      </c>
      <c r="Q19" s="106"/>
    </row>
    <row r="20" spans="1:19" outlineLevel="1" x14ac:dyDescent="0.2">
      <c r="A20" t="s">
        <v>387</v>
      </c>
      <c r="C20" s="68" t="s">
        <v>388</v>
      </c>
      <c r="D20" s="129" t="s">
        <v>125</v>
      </c>
      <c r="E20" s="129"/>
      <c r="F20" s="130"/>
      <c r="G20" s="71"/>
      <c r="H20" s="89"/>
      <c r="I20" s="74"/>
      <c r="J20" s="74">
        <f>SUBTOTAL(9,J22:J22)</f>
        <v>2210</v>
      </c>
      <c r="K20" s="95"/>
      <c r="L20" s="95"/>
      <c r="M20" s="99"/>
      <c r="N20" s="74"/>
      <c r="O20" s="74">
        <f>SUBTOTAL(9,O22:O22)</f>
        <v>596.70000000000005</v>
      </c>
      <c r="P20" s="103"/>
      <c r="Q20" s="106"/>
    </row>
    <row r="21" spans="1:19" outlineLevel="2" x14ac:dyDescent="0.2">
      <c r="A21" t="s">
        <v>389</v>
      </c>
      <c r="C21" s="82" t="s">
        <v>390</v>
      </c>
      <c r="D21" s="135" t="s">
        <v>126</v>
      </c>
      <c r="E21" s="135"/>
      <c r="F21" s="136"/>
      <c r="G21" s="86"/>
      <c r="H21" s="90"/>
      <c r="I21" s="92"/>
      <c r="J21" s="92">
        <f>SUBTOTAL(9,J22:J22)</f>
        <v>2210</v>
      </c>
      <c r="K21" s="96"/>
      <c r="L21" s="96"/>
      <c r="M21" s="100"/>
      <c r="N21" s="92"/>
      <c r="O21" s="92">
        <f>SUBTOTAL(9,O22:O22)</f>
        <v>596.70000000000005</v>
      </c>
      <c r="P21" s="104"/>
      <c r="Q21" s="106"/>
      <c r="S21" s="83" t="s">
        <v>126</v>
      </c>
    </row>
    <row r="22" spans="1:19" ht="60" outlineLevel="3" x14ac:dyDescent="0.2">
      <c r="A22" t="s">
        <v>391</v>
      </c>
      <c r="C22" s="39"/>
      <c r="D22" s="84" t="s">
        <v>127</v>
      </c>
      <c r="E22" s="58" t="s">
        <v>133</v>
      </c>
      <c r="F22" s="58" t="s">
        <v>126</v>
      </c>
      <c r="G22" s="72">
        <v>1</v>
      </c>
      <c r="H22" s="91">
        <f>G22*H11</f>
        <v>1</v>
      </c>
      <c r="I22" s="46">
        <v>2210</v>
      </c>
      <c r="J22" s="46">
        <f>I22*H22</f>
        <v>2210</v>
      </c>
      <c r="K22" s="97">
        <f>ROUND(Discount!F48,10)</f>
        <v>0.27</v>
      </c>
      <c r="L22" s="97">
        <f>1-ROUND(Discount!F48,10)</f>
        <v>0.73</v>
      </c>
      <c r="M22" s="48">
        <f>PHUAWEISW1</f>
        <v>1</v>
      </c>
      <c r="N22" s="46">
        <f>ROUND(I22*QF_SYS_EXCHANGE1*Discount!F48*PHUAWEISW1,2)</f>
        <v>596.70000000000005</v>
      </c>
      <c r="O22" s="46">
        <f>N22*H22</f>
        <v>596.70000000000005</v>
      </c>
      <c r="P22" s="105" t="s">
        <v>36</v>
      </c>
      <c r="Q22" s="106"/>
    </row>
    <row r="23" spans="1:19" outlineLevel="1" x14ac:dyDescent="0.2">
      <c r="A23" t="s">
        <v>392</v>
      </c>
      <c r="C23" s="68" t="s">
        <v>393</v>
      </c>
      <c r="D23" s="129" t="s">
        <v>86</v>
      </c>
      <c r="E23" s="129"/>
      <c r="F23" s="130"/>
      <c r="G23" s="71"/>
      <c r="H23" s="89"/>
      <c r="I23" s="74"/>
      <c r="J23" s="74">
        <f>SUBTOTAL(9,J24:J25)</f>
        <v>1848.105</v>
      </c>
      <c r="K23" s="95"/>
      <c r="L23" s="95"/>
      <c r="M23" s="99"/>
      <c r="N23" s="74"/>
      <c r="O23" s="74">
        <f>SUBTOTAL(9,O24:O25)</f>
        <v>1213.22</v>
      </c>
      <c r="P23" s="103"/>
      <c r="Q23" s="106"/>
    </row>
    <row r="24" spans="1:19" ht="48" outlineLevel="2" x14ac:dyDescent="0.2">
      <c r="A24" t="s">
        <v>394</v>
      </c>
      <c r="C24" s="39"/>
      <c r="D24" s="84" t="s">
        <v>87</v>
      </c>
      <c r="E24" s="58" t="s">
        <v>134</v>
      </c>
      <c r="F24" s="58" t="s">
        <v>140</v>
      </c>
      <c r="G24" s="72">
        <v>1</v>
      </c>
      <c r="H24" s="91">
        <f>G24*H11</f>
        <v>1</v>
      </c>
      <c r="I24" s="46">
        <v>1350.825</v>
      </c>
      <c r="J24" s="46">
        <f>I24*H24</f>
        <v>1350.825</v>
      </c>
      <c r="K24" s="97">
        <f>ROUND(Discount!F51,10)</f>
        <v>0.53</v>
      </c>
      <c r="L24" s="97">
        <f>1-ROUND(Discount!F51,10)</f>
        <v>0.47</v>
      </c>
      <c r="M24" s="48">
        <f>PHUAWEISERVICE1</f>
        <v>1</v>
      </c>
      <c r="N24" s="46">
        <f>ROUND(I24*QF_SYS_EXCHANGE1*Discount!F51*PHUAWEISERVICE1,2)</f>
        <v>715.94</v>
      </c>
      <c r="O24" s="46">
        <f>N24*H24</f>
        <v>715.94</v>
      </c>
      <c r="P24" s="105" t="s">
        <v>38</v>
      </c>
      <c r="Q24" s="106"/>
    </row>
    <row r="25" spans="1:19" ht="84" outlineLevel="2" x14ac:dyDescent="0.2">
      <c r="A25" t="s">
        <v>395</v>
      </c>
      <c r="C25" s="50"/>
      <c r="D25" s="107" t="s">
        <v>128</v>
      </c>
      <c r="E25" s="108" t="s">
        <v>135</v>
      </c>
      <c r="F25" s="108" t="s">
        <v>141</v>
      </c>
      <c r="G25" s="109">
        <v>1</v>
      </c>
      <c r="H25" s="110">
        <f>G25*H11</f>
        <v>1</v>
      </c>
      <c r="I25" s="54">
        <v>497.28</v>
      </c>
      <c r="J25" s="54">
        <f>I25*H25</f>
        <v>497.28</v>
      </c>
      <c r="K25" s="111">
        <f>ROUND(Discount!F50,10)</f>
        <v>1</v>
      </c>
      <c r="L25" s="111">
        <f>1-ROUND(Discount!F50,10)</f>
        <v>0</v>
      </c>
      <c r="M25" s="55">
        <f>PHUAWEISERVICE1</f>
        <v>1</v>
      </c>
      <c r="N25" s="54">
        <f>ROUND(I25*QF_SYS_EXCHANGE1*Discount!F50*PHUAWEISERVICE1,2)</f>
        <v>497.28</v>
      </c>
      <c r="O25" s="54">
        <f>N25*H25</f>
        <v>497.28</v>
      </c>
      <c r="P25" s="112" t="s">
        <v>37</v>
      </c>
      <c r="Q25" s="106"/>
    </row>
  </sheetData>
  <mergeCells count="9">
    <mergeCell ref="D18:F18"/>
    <mergeCell ref="D20:F20"/>
    <mergeCell ref="D21:F21"/>
    <mergeCell ref="D23:F23"/>
    <mergeCell ref="D10:F10"/>
    <mergeCell ref="D11:F11"/>
    <mergeCell ref="D12:F12"/>
    <mergeCell ref="D14:F14"/>
    <mergeCell ref="D16:F16"/>
  </mergeCells>
  <pageMargins left="0.51181102362204722" right="0.51181102362204722" top="0.51181102362204722" bottom="0.47244094488188981" header="7.874015748031496E-2" footer="0.1968503937007874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1"/>
  <sheetViews>
    <sheetView topLeftCell="B14" workbookViewId="0">
      <selection activeCell="F31" sqref="F31"/>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396</v>
      </c>
      <c r="C10" s="38"/>
      <c r="D10" s="131" t="s">
        <v>65</v>
      </c>
      <c r="E10" s="131"/>
      <c r="F10" s="132"/>
      <c r="G10" s="85"/>
      <c r="H10" s="87"/>
      <c r="I10" s="45"/>
      <c r="J10" s="45"/>
      <c r="K10" s="93"/>
      <c r="L10" s="93"/>
      <c r="M10" s="47"/>
      <c r="N10" s="45"/>
      <c r="O10" s="45"/>
      <c r="P10" s="101"/>
      <c r="Q10" s="106"/>
    </row>
    <row r="11" spans="1:17" x14ac:dyDescent="0.2">
      <c r="A11" t="s">
        <v>397</v>
      </c>
      <c r="C11" s="69" t="s">
        <v>289</v>
      </c>
      <c r="D11" s="133" t="s">
        <v>39</v>
      </c>
      <c r="E11" s="133"/>
      <c r="F11" s="134"/>
      <c r="G11" s="73"/>
      <c r="H11" s="88">
        <v>1</v>
      </c>
      <c r="I11" s="75">
        <f>IF(OR(H11="",J11=""),"",J11/IF(H11=0,1,H11))</f>
        <v>7637.357</v>
      </c>
      <c r="J11" s="75">
        <f>J12+J17+J19+J21+J23+J25+J27+J30</f>
        <v>7637.357</v>
      </c>
      <c r="K11" s="94"/>
      <c r="L11" s="94"/>
      <c r="M11" s="98"/>
      <c r="N11" s="75">
        <f>IF(OR(H11="",O11=""),"",O11/IF(H11=0,1,H11))</f>
        <v>5197.63</v>
      </c>
      <c r="O11" s="75">
        <f>O12+O17+O19+O21+O23+O25+O27+O30</f>
        <v>5197.63</v>
      </c>
      <c r="P11" s="102"/>
      <c r="Q11" s="106"/>
    </row>
    <row r="12" spans="1:17" outlineLevel="1" x14ac:dyDescent="0.2">
      <c r="A12" t="s">
        <v>398</v>
      </c>
      <c r="C12" s="68" t="s">
        <v>399</v>
      </c>
      <c r="D12" s="129" t="s">
        <v>142</v>
      </c>
      <c r="E12" s="129"/>
      <c r="F12" s="130"/>
      <c r="G12" s="71"/>
      <c r="H12" s="89"/>
      <c r="I12" s="74"/>
      <c r="J12" s="74">
        <f>SUBTOTAL(9,J13:J16)</f>
        <v>1935</v>
      </c>
      <c r="K12" s="95"/>
      <c r="L12" s="95"/>
      <c r="M12" s="99"/>
      <c r="N12" s="74"/>
      <c r="O12" s="74">
        <f>SUBTOTAL(9,O13:O16)</f>
        <v>1044.9000000000001</v>
      </c>
      <c r="P12" s="103"/>
      <c r="Q12" s="106"/>
    </row>
    <row r="13" spans="1:17" ht="36" outlineLevel="2" x14ac:dyDescent="0.2">
      <c r="A13" t="s">
        <v>400</v>
      </c>
      <c r="C13" s="39"/>
      <c r="D13" s="84" t="s">
        <v>143</v>
      </c>
      <c r="E13" s="58" t="s">
        <v>160</v>
      </c>
      <c r="F13" s="58" t="s">
        <v>171</v>
      </c>
      <c r="G13" s="72">
        <v>1</v>
      </c>
      <c r="H13" s="91">
        <f>G13*H11</f>
        <v>1</v>
      </c>
      <c r="I13" s="46">
        <v>1199</v>
      </c>
      <c r="J13" s="46">
        <f>I13*H13</f>
        <v>1199</v>
      </c>
      <c r="K13" s="97">
        <f>ROUND(Discount!F53,10)</f>
        <v>0.54</v>
      </c>
      <c r="L13" s="97">
        <f>1-ROUND(Discount!F53,10)</f>
        <v>0.45999999999999996</v>
      </c>
      <c r="M13" s="48">
        <f>PHUAWEIHW1</f>
        <v>1</v>
      </c>
      <c r="N13" s="46">
        <f>ROUND(I13*QF_SYS_EXCHANGE1*Discount!F53*PHUAWEIHW1,2)</f>
        <v>647.46</v>
      </c>
      <c r="O13" s="46">
        <f>N13*H13</f>
        <v>647.46</v>
      </c>
      <c r="P13" s="105" t="s">
        <v>28</v>
      </c>
      <c r="Q13" s="106"/>
    </row>
    <row r="14" spans="1:17" ht="24" outlineLevel="2" x14ac:dyDescent="0.2">
      <c r="A14" t="s">
        <v>401</v>
      </c>
      <c r="C14" s="39"/>
      <c r="D14" s="84" t="s">
        <v>144</v>
      </c>
      <c r="E14" s="58" t="s">
        <v>161</v>
      </c>
      <c r="F14" s="58" t="s">
        <v>172</v>
      </c>
      <c r="G14" s="72">
        <v>1</v>
      </c>
      <c r="H14" s="91">
        <f>G14*H11</f>
        <v>1</v>
      </c>
      <c r="I14" s="46">
        <v>179</v>
      </c>
      <c r="J14" s="46">
        <f>I14*H14</f>
        <v>179</v>
      </c>
      <c r="K14" s="97">
        <f>ROUND(Discount!F53,10)</f>
        <v>0.54</v>
      </c>
      <c r="L14" s="97">
        <f>1-ROUND(Discount!F53,10)</f>
        <v>0.45999999999999996</v>
      </c>
      <c r="M14" s="48">
        <f>PHUAWEIHW1</f>
        <v>1</v>
      </c>
      <c r="N14" s="46">
        <f>ROUND(I14*QF_SYS_EXCHANGE1*Discount!F53*PHUAWEIHW1,2)</f>
        <v>96.66</v>
      </c>
      <c r="O14" s="46">
        <f>N14*H14</f>
        <v>96.66</v>
      </c>
      <c r="P14" s="105" t="s">
        <v>28</v>
      </c>
      <c r="Q14" s="106"/>
    </row>
    <row r="15" spans="1:17" ht="24" outlineLevel="2" x14ac:dyDescent="0.2">
      <c r="A15" t="s">
        <v>402</v>
      </c>
      <c r="C15" s="39"/>
      <c r="D15" s="84" t="s">
        <v>145</v>
      </c>
      <c r="E15" s="58" t="s">
        <v>162</v>
      </c>
      <c r="F15" s="58" t="s">
        <v>173</v>
      </c>
      <c r="G15" s="72">
        <v>1</v>
      </c>
      <c r="H15" s="91">
        <f>G15*H11</f>
        <v>1</v>
      </c>
      <c r="I15" s="46">
        <v>59</v>
      </c>
      <c r="J15" s="46">
        <f>I15*H15</f>
        <v>59</v>
      </c>
      <c r="K15" s="97">
        <f>ROUND(Discount!F53,10)</f>
        <v>0.54</v>
      </c>
      <c r="L15" s="97">
        <f>1-ROUND(Discount!F53,10)</f>
        <v>0.45999999999999996</v>
      </c>
      <c r="M15" s="48">
        <f>PHUAWEIHW1</f>
        <v>1</v>
      </c>
      <c r="N15" s="46">
        <f>ROUND(I15*QF_SYS_EXCHANGE1*Discount!F53*PHUAWEIHW1,2)</f>
        <v>31.86</v>
      </c>
      <c r="O15" s="46">
        <f>N15*H15</f>
        <v>31.86</v>
      </c>
      <c r="P15" s="105" t="s">
        <v>28</v>
      </c>
      <c r="Q15" s="106"/>
    </row>
    <row r="16" spans="1:17" outlineLevel="2" x14ac:dyDescent="0.2">
      <c r="A16" t="s">
        <v>403</v>
      </c>
      <c r="C16" s="39"/>
      <c r="D16" s="84" t="s">
        <v>146</v>
      </c>
      <c r="E16" s="58" t="s">
        <v>163</v>
      </c>
      <c r="F16" s="58" t="s">
        <v>174</v>
      </c>
      <c r="G16" s="72">
        <v>2</v>
      </c>
      <c r="H16" s="91">
        <f>G16*H11</f>
        <v>2</v>
      </c>
      <c r="I16" s="46">
        <v>249</v>
      </c>
      <c r="J16" s="46">
        <f>I16*H16</f>
        <v>498</v>
      </c>
      <c r="K16" s="97">
        <f>ROUND(Discount!F53,10)</f>
        <v>0.54</v>
      </c>
      <c r="L16" s="97">
        <f>1-ROUND(Discount!F53,10)</f>
        <v>0.45999999999999996</v>
      </c>
      <c r="M16" s="48">
        <f>PHUAWEIHW1</f>
        <v>1</v>
      </c>
      <c r="N16" s="46">
        <f>ROUND(I16*QF_SYS_EXCHANGE1*Discount!F53*PHUAWEIHW1,2)</f>
        <v>134.46</v>
      </c>
      <c r="O16" s="46">
        <f>N16*H16</f>
        <v>268.92</v>
      </c>
      <c r="P16" s="105" t="s">
        <v>28</v>
      </c>
      <c r="Q16" s="106"/>
    </row>
    <row r="17" spans="1:17" outlineLevel="1" x14ac:dyDescent="0.2">
      <c r="A17" t="s">
        <v>404</v>
      </c>
      <c r="C17" s="68" t="s">
        <v>405</v>
      </c>
      <c r="D17" s="129" t="s">
        <v>147</v>
      </c>
      <c r="E17" s="129"/>
      <c r="F17" s="130"/>
      <c r="G17" s="71"/>
      <c r="H17" s="89"/>
      <c r="I17" s="74"/>
      <c r="J17" s="74">
        <f>SUBTOTAL(9,J18:J18)</f>
        <v>819</v>
      </c>
      <c r="K17" s="95"/>
      <c r="L17" s="95"/>
      <c r="M17" s="99"/>
      <c r="N17" s="74"/>
      <c r="O17" s="74">
        <f>SUBTOTAL(9,O18:O18)</f>
        <v>442.26</v>
      </c>
      <c r="P17" s="103"/>
      <c r="Q17" s="106"/>
    </row>
    <row r="18" spans="1:17" ht="36" outlineLevel="2" x14ac:dyDescent="0.2">
      <c r="A18" t="s">
        <v>406</v>
      </c>
      <c r="C18" s="39"/>
      <c r="D18" s="84" t="s">
        <v>148</v>
      </c>
      <c r="E18" s="58" t="s">
        <v>164</v>
      </c>
      <c r="F18" s="58" t="s">
        <v>175</v>
      </c>
      <c r="G18" s="72">
        <v>1</v>
      </c>
      <c r="H18" s="91">
        <f>G18*H11</f>
        <v>1</v>
      </c>
      <c r="I18" s="46">
        <v>819</v>
      </c>
      <c r="J18" s="46">
        <f>I18*H18</f>
        <v>819</v>
      </c>
      <c r="K18" s="97">
        <f>ROUND(Discount!F53,10)</f>
        <v>0.54</v>
      </c>
      <c r="L18" s="97">
        <f>1-ROUND(Discount!F53,10)</f>
        <v>0.45999999999999996</v>
      </c>
      <c r="M18" s="48">
        <f>PHUAWEIHW1</f>
        <v>1</v>
      </c>
      <c r="N18" s="46">
        <f>ROUND(I18*QF_SYS_EXCHANGE1*Discount!F53*PHUAWEIHW1,2)</f>
        <v>442.26</v>
      </c>
      <c r="O18" s="46">
        <f>N18*H18</f>
        <v>442.26</v>
      </c>
      <c r="P18" s="105" t="s">
        <v>28</v>
      </c>
      <c r="Q18" s="106"/>
    </row>
    <row r="19" spans="1:17" outlineLevel="1" x14ac:dyDescent="0.2">
      <c r="A19" t="s">
        <v>407</v>
      </c>
      <c r="C19" s="68" t="s">
        <v>408</v>
      </c>
      <c r="D19" s="129" t="s">
        <v>149</v>
      </c>
      <c r="E19" s="129"/>
      <c r="F19" s="130"/>
      <c r="G19" s="71"/>
      <c r="H19" s="89"/>
      <c r="I19" s="74"/>
      <c r="J19" s="74">
        <f>SUBTOTAL(9,J20:J20)</f>
        <v>259</v>
      </c>
      <c r="K19" s="95"/>
      <c r="L19" s="95"/>
      <c r="M19" s="99"/>
      <c r="N19" s="74"/>
      <c r="O19" s="74">
        <f>SUBTOTAL(9,O20:O20)</f>
        <v>139.86000000000001</v>
      </c>
      <c r="P19" s="103"/>
      <c r="Q19" s="106"/>
    </row>
    <row r="20" spans="1:17" ht="36" outlineLevel="2" x14ac:dyDescent="0.2">
      <c r="A20" t="s">
        <v>409</v>
      </c>
      <c r="C20" s="39"/>
      <c r="D20" s="84" t="s">
        <v>150</v>
      </c>
      <c r="E20" s="58" t="s">
        <v>165</v>
      </c>
      <c r="F20" s="58" t="s">
        <v>176</v>
      </c>
      <c r="G20" s="72">
        <v>1</v>
      </c>
      <c r="H20" s="91">
        <f>G20*H11</f>
        <v>1</v>
      </c>
      <c r="I20" s="46">
        <v>259</v>
      </c>
      <c r="J20" s="46">
        <f>I20*H20</f>
        <v>259</v>
      </c>
      <c r="K20" s="97">
        <f>ROUND(Discount!F53,10)</f>
        <v>0.54</v>
      </c>
      <c r="L20" s="97">
        <f>1-ROUND(Discount!F53,10)</f>
        <v>0.45999999999999996</v>
      </c>
      <c r="M20" s="48">
        <f>PHUAWEIHW1</f>
        <v>1</v>
      </c>
      <c r="N20" s="46">
        <f>ROUND(I20*QF_SYS_EXCHANGE1*Discount!F53*PHUAWEIHW1,2)</f>
        <v>139.86000000000001</v>
      </c>
      <c r="O20" s="46">
        <f>N20*H20</f>
        <v>139.86000000000001</v>
      </c>
      <c r="P20" s="105" t="s">
        <v>28</v>
      </c>
      <c r="Q20" s="106"/>
    </row>
    <row r="21" spans="1:17" outlineLevel="1" x14ac:dyDescent="0.2">
      <c r="A21" t="s">
        <v>410</v>
      </c>
      <c r="C21" s="68" t="s">
        <v>411</v>
      </c>
      <c r="D21" s="129" t="s">
        <v>151</v>
      </c>
      <c r="E21" s="129"/>
      <c r="F21" s="130"/>
      <c r="G21" s="71"/>
      <c r="H21" s="89"/>
      <c r="I21" s="74"/>
      <c r="J21" s="74">
        <f>SUBTOTAL(9,J22:J22)</f>
        <v>1300</v>
      </c>
      <c r="K21" s="95"/>
      <c r="L21" s="95"/>
      <c r="M21" s="99"/>
      <c r="N21" s="74"/>
      <c r="O21" s="74">
        <f>SUBTOTAL(9,O22:O22)</f>
        <v>702</v>
      </c>
      <c r="P21" s="103"/>
      <c r="Q21" s="106"/>
    </row>
    <row r="22" spans="1:17" ht="24" outlineLevel="2" x14ac:dyDescent="0.2">
      <c r="A22" t="s">
        <v>412</v>
      </c>
      <c r="C22" s="39"/>
      <c r="D22" s="84" t="s">
        <v>152</v>
      </c>
      <c r="E22" s="58" t="s">
        <v>166</v>
      </c>
      <c r="F22" s="58" t="s">
        <v>177</v>
      </c>
      <c r="G22" s="72">
        <v>2</v>
      </c>
      <c r="H22" s="91">
        <f>G22*H11</f>
        <v>2</v>
      </c>
      <c r="I22" s="46">
        <v>650</v>
      </c>
      <c r="J22" s="46">
        <f>I22*H22</f>
        <v>1300</v>
      </c>
      <c r="K22" s="97">
        <f>ROUND(Discount!F53,10)</f>
        <v>0.54</v>
      </c>
      <c r="L22" s="97">
        <f>1-ROUND(Discount!F53,10)</f>
        <v>0.45999999999999996</v>
      </c>
      <c r="M22" s="48">
        <f>PHUAWEIHW1</f>
        <v>1</v>
      </c>
      <c r="N22" s="46">
        <f>ROUND(I22*QF_SYS_EXCHANGE1*Discount!F53*PHUAWEIHW1,2)</f>
        <v>351</v>
      </c>
      <c r="O22" s="46">
        <f>N22*H22</f>
        <v>702</v>
      </c>
      <c r="P22" s="105" t="s">
        <v>28</v>
      </c>
      <c r="Q22" s="106"/>
    </row>
    <row r="23" spans="1:17" outlineLevel="1" x14ac:dyDescent="0.2">
      <c r="A23" t="s">
        <v>413</v>
      </c>
      <c r="C23" s="68" t="s">
        <v>414</v>
      </c>
      <c r="D23" s="129" t="s">
        <v>153</v>
      </c>
      <c r="E23" s="129"/>
      <c r="F23" s="130"/>
      <c r="G23" s="71"/>
      <c r="H23" s="89"/>
      <c r="I23" s="74"/>
      <c r="J23" s="74">
        <f>SUBTOTAL(9,J24:J24)</f>
        <v>199</v>
      </c>
      <c r="K23" s="95"/>
      <c r="L23" s="95"/>
      <c r="M23" s="99"/>
      <c r="N23" s="74"/>
      <c r="O23" s="74">
        <f>SUBTOTAL(9,O24:O24)</f>
        <v>107.46</v>
      </c>
      <c r="P23" s="103"/>
      <c r="Q23" s="106"/>
    </row>
    <row r="24" spans="1:17" ht="48" outlineLevel="2" x14ac:dyDescent="0.2">
      <c r="A24" t="s">
        <v>415</v>
      </c>
      <c r="C24" s="39"/>
      <c r="D24" s="84" t="s">
        <v>154</v>
      </c>
      <c r="E24" s="58" t="s">
        <v>167</v>
      </c>
      <c r="F24" s="58" t="s">
        <v>178</v>
      </c>
      <c r="G24" s="72">
        <v>1</v>
      </c>
      <c r="H24" s="91">
        <f>G24*H11</f>
        <v>1</v>
      </c>
      <c r="I24" s="46">
        <v>199</v>
      </c>
      <c r="J24" s="46">
        <f>I24*H24</f>
        <v>199</v>
      </c>
      <c r="K24" s="97">
        <f>ROUND(Discount!F53,10)</f>
        <v>0.54</v>
      </c>
      <c r="L24" s="97">
        <f>1-ROUND(Discount!F53,10)</f>
        <v>0.45999999999999996</v>
      </c>
      <c r="M24" s="48">
        <f>PHUAWEIHW1</f>
        <v>1</v>
      </c>
      <c r="N24" s="46">
        <f>ROUND(I24*QF_SYS_EXCHANGE1*Discount!F53*PHUAWEIHW1,2)</f>
        <v>107.46</v>
      </c>
      <c r="O24" s="46">
        <f>N24*H24</f>
        <v>107.46</v>
      </c>
      <c r="P24" s="105" t="s">
        <v>28</v>
      </c>
      <c r="Q24" s="106"/>
    </row>
    <row r="25" spans="1:17" outlineLevel="1" x14ac:dyDescent="0.2">
      <c r="A25" t="s">
        <v>416</v>
      </c>
      <c r="C25" s="68" t="s">
        <v>417</v>
      </c>
      <c r="D25" s="129" t="s">
        <v>155</v>
      </c>
      <c r="E25" s="129"/>
      <c r="F25" s="130"/>
      <c r="G25" s="71"/>
      <c r="H25" s="89"/>
      <c r="I25" s="74"/>
      <c r="J25" s="74">
        <f>SUBTOTAL(9,J26:J26)</f>
        <v>28</v>
      </c>
      <c r="K25" s="95"/>
      <c r="L25" s="95"/>
      <c r="M25" s="99"/>
      <c r="N25" s="74"/>
      <c r="O25" s="74">
        <f>SUBTOTAL(9,O26:O26)</f>
        <v>25.76</v>
      </c>
      <c r="P25" s="103"/>
      <c r="Q25" s="106"/>
    </row>
    <row r="26" spans="1:17" outlineLevel="2" x14ac:dyDescent="0.2">
      <c r="A26" t="s">
        <v>418</v>
      </c>
      <c r="C26" s="39"/>
      <c r="D26" s="84" t="s">
        <v>156</v>
      </c>
      <c r="E26" s="58" t="s">
        <v>168</v>
      </c>
      <c r="F26" s="58" t="s">
        <v>179</v>
      </c>
      <c r="G26" s="72">
        <v>1</v>
      </c>
      <c r="H26" s="91">
        <f>G26*H11</f>
        <v>1</v>
      </c>
      <c r="I26" s="46">
        <v>28</v>
      </c>
      <c r="J26" s="46">
        <f>I26*H26</f>
        <v>28</v>
      </c>
      <c r="K26" s="97">
        <f>ROUND(Discount!F54,10)</f>
        <v>0.92</v>
      </c>
      <c r="L26" s="97">
        <f>1-ROUND(Discount!F54,10)</f>
        <v>7.999999999999996E-2</v>
      </c>
      <c r="M26" s="48">
        <f>POUTSOURINGHW1</f>
        <v>1</v>
      </c>
      <c r="N26" s="46">
        <f>ROUND(I26*QF_SYS_EXCHANGE1*Discount!F54*POUTSOURINGHW1,2)</f>
        <v>25.76</v>
      </c>
      <c r="O26" s="46">
        <f>N26*H26</f>
        <v>25.76</v>
      </c>
      <c r="P26" s="105" t="s">
        <v>29</v>
      </c>
      <c r="Q26" s="106"/>
    </row>
    <row r="27" spans="1:17" outlineLevel="1" x14ac:dyDescent="0.2">
      <c r="A27" t="s">
        <v>419</v>
      </c>
      <c r="C27" s="68" t="s">
        <v>420</v>
      </c>
      <c r="D27" s="129" t="s">
        <v>157</v>
      </c>
      <c r="E27" s="129"/>
      <c r="F27" s="130"/>
      <c r="G27" s="71"/>
      <c r="H27" s="89"/>
      <c r="I27" s="74"/>
      <c r="J27" s="74">
        <f>SUBTOTAL(9,J29:J29)</f>
        <v>2869</v>
      </c>
      <c r="K27" s="95"/>
      <c r="L27" s="95"/>
      <c r="M27" s="99"/>
      <c r="N27" s="74"/>
      <c r="O27" s="74">
        <f>SUBTOTAL(9,O29:O29)</f>
        <v>2639.48</v>
      </c>
      <c r="P27" s="103"/>
      <c r="Q27" s="106"/>
    </row>
    <row r="28" spans="1:17" outlineLevel="2" x14ac:dyDescent="0.2">
      <c r="A28" t="s">
        <v>421</v>
      </c>
      <c r="C28" s="82" t="s">
        <v>422</v>
      </c>
      <c r="D28" s="135" t="s">
        <v>158</v>
      </c>
      <c r="E28" s="135"/>
      <c r="F28" s="136"/>
      <c r="G28" s="86"/>
      <c r="H28" s="90"/>
      <c r="I28" s="92"/>
      <c r="J28" s="92">
        <f>SUBTOTAL(9,J29:J29)</f>
        <v>2869</v>
      </c>
      <c r="K28" s="96"/>
      <c r="L28" s="96"/>
      <c r="M28" s="100"/>
      <c r="N28" s="92"/>
      <c r="O28" s="92">
        <f>SUBTOTAL(9,O29:O29)</f>
        <v>2639.48</v>
      </c>
      <c r="P28" s="104"/>
      <c r="Q28" s="106"/>
    </row>
    <row r="29" spans="1:17" ht="48" outlineLevel="3" x14ac:dyDescent="0.2">
      <c r="A29" t="s">
        <v>423</v>
      </c>
      <c r="C29" s="39"/>
      <c r="D29" s="84" t="s">
        <v>159</v>
      </c>
      <c r="E29" s="58" t="s">
        <v>169</v>
      </c>
      <c r="F29" s="58" t="s">
        <v>180</v>
      </c>
      <c r="G29" s="72">
        <v>1</v>
      </c>
      <c r="H29" s="91">
        <f>G29*H11</f>
        <v>1</v>
      </c>
      <c r="I29" s="46">
        <v>2869</v>
      </c>
      <c r="J29" s="46">
        <f>I29*H29</f>
        <v>2869</v>
      </c>
      <c r="K29" s="97">
        <f>ROUND(Discount!F54,10)</f>
        <v>0.92</v>
      </c>
      <c r="L29" s="97">
        <f>1-ROUND(Discount!F54,10)</f>
        <v>7.999999999999996E-2</v>
      </c>
      <c r="M29" s="48">
        <f>POUTSOURINGHW1</f>
        <v>1</v>
      </c>
      <c r="N29" s="46">
        <f>ROUND(I29*QF_SYS_EXCHANGE1*Discount!F54*POUTSOURINGHW1,2)</f>
        <v>2639.48</v>
      </c>
      <c r="O29" s="46">
        <f>N29*H29</f>
        <v>2639.48</v>
      </c>
      <c r="P29" s="105" t="s">
        <v>29</v>
      </c>
      <c r="Q29" s="106"/>
    </row>
    <row r="30" spans="1:17" outlineLevel="1" x14ac:dyDescent="0.2">
      <c r="A30" t="s">
        <v>424</v>
      </c>
      <c r="C30" s="68" t="s">
        <v>425</v>
      </c>
      <c r="D30" s="129" t="s">
        <v>86</v>
      </c>
      <c r="E30" s="129"/>
      <c r="F30" s="130"/>
      <c r="G30" s="71"/>
      <c r="H30" s="89"/>
      <c r="I30" s="74"/>
      <c r="J30" s="74">
        <f>SUBTOTAL(9,J31:J31)</f>
        <v>228.357</v>
      </c>
      <c r="K30" s="95"/>
      <c r="L30" s="95"/>
      <c r="M30" s="99"/>
      <c r="N30" s="74"/>
      <c r="O30" s="74">
        <f>SUBTOTAL(9,O31:O31)</f>
        <v>95.91</v>
      </c>
      <c r="P30" s="103"/>
      <c r="Q30" s="106"/>
    </row>
    <row r="31" spans="1:17" ht="36" outlineLevel="2" x14ac:dyDescent="0.2">
      <c r="A31" t="s">
        <v>426</v>
      </c>
      <c r="C31" s="50"/>
      <c r="D31" s="107" t="s">
        <v>87</v>
      </c>
      <c r="E31" s="108" t="s">
        <v>170</v>
      </c>
      <c r="F31" s="108" t="s">
        <v>181</v>
      </c>
      <c r="G31" s="109">
        <v>1</v>
      </c>
      <c r="H31" s="110">
        <f>G31*H11</f>
        <v>1</v>
      </c>
      <c r="I31" s="54">
        <v>228.357</v>
      </c>
      <c r="J31" s="54">
        <f>I31*H31</f>
        <v>228.357</v>
      </c>
      <c r="K31" s="111">
        <f>ROUND(Discount!F55,10)</f>
        <v>0.42</v>
      </c>
      <c r="L31" s="111">
        <f>1-ROUND(Discount!F55,10)</f>
        <v>0.58000000000000007</v>
      </c>
      <c r="M31" s="55">
        <f>PHUAWEISERVICE1</f>
        <v>1</v>
      </c>
      <c r="N31" s="54">
        <f>ROUND(I31*QF_SYS_EXCHANGE1*Discount!F55*PHUAWEISERVICE1,2)</f>
        <v>95.91</v>
      </c>
      <c r="O31" s="54">
        <f>N31*H31</f>
        <v>95.91</v>
      </c>
      <c r="P31" s="112" t="s">
        <v>40</v>
      </c>
      <c r="Q31" s="106"/>
    </row>
  </sheetData>
  <mergeCells count="11">
    <mergeCell ref="D10:F10"/>
    <mergeCell ref="D11:F11"/>
    <mergeCell ref="D12:F12"/>
    <mergeCell ref="D17:F17"/>
    <mergeCell ref="D19:F19"/>
    <mergeCell ref="D30:F30"/>
    <mergeCell ref="D21:F21"/>
    <mergeCell ref="D23:F23"/>
    <mergeCell ref="D25:F25"/>
    <mergeCell ref="D27:F27"/>
    <mergeCell ref="D28:F28"/>
  </mergeCells>
  <pageMargins left="0.51181102362204722" right="0.51181102362204722" top="0.51181102362204722" bottom="0.47244094488188981" header="7.874015748031496E-2" footer="0.19685039370078741"/>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1"/>
  <sheetViews>
    <sheetView topLeftCell="B14" workbookViewId="0">
      <selection activeCell="F29" sqref="F29"/>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427</v>
      </c>
      <c r="C10" s="38"/>
      <c r="D10" s="131" t="s">
        <v>66</v>
      </c>
      <c r="E10" s="131"/>
      <c r="F10" s="132"/>
      <c r="G10" s="85"/>
      <c r="H10" s="87"/>
      <c r="I10" s="45"/>
      <c r="J10" s="45"/>
      <c r="K10" s="93"/>
      <c r="L10" s="93"/>
      <c r="M10" s="47"/>
      <c r="N10" s="45"/>
      <c r="O10" s="45"/>
      <c r="P10" s="101"/>
      <c r="Q10" s="106"/>
    </row>
    <row r="11" spans="1:17" x14ac:dyDescent="0.2">
      <c r="A11" t="s">
        <v>428</v>
      </c>
      <c r="C11" s="69" t="s">
        <v>292</v>
      </c>
      <c r="D11" s="133" t="s">
        <v>39</v>
      </c>
      <c r="E11" s="133"/>
      <c r="F11" s="134"/>
      <c r="G11" s="73"/>
      <c r="H11" s="88">
        <v>1</v>
      </c>
      <c r="I11" s="75">
        <f>IF(OR(H11="",J11=""),"",J11/IF(H11=0,1,H11))</f>
        <v>8884.357</v>
      </c>
      <c r="J11" s="75">
        <f>J12+J17+J19+J21+J23+J25+J27+J30</f>
        <v>8884.357</v>
      </c>
      <c r="K11" s="94"/>
      <c r="L11" s="94"/>
      <c r="M11" s="98"/>
      <c r="N11" s="75">
        <f>IF(OR(H11="",O11=""),"",O11/IF(H11=0,1,H11))</f>
        <v>5092.7700000000004</v>
      </c>
      <c r="O11" s="75">
        <f>O12+O17+O19+O21+O23+O25+O27+O30</f>
        <v>5092.7700000000004</v>
      </c>
      <c r="P11" s="102"/>
      <c r="Q11" s="106"/>
    </row>
    <row r="12" spans="1:17" outlineLevel="1" x14ac:dyDescent="0.2">
      <c r="A12" t="s">
        <v>429</v>
      </c>
      <c r="C12" s="68" t="s">
        <v>430</v>
      </c>
      <c r="D12" s="129" t="s">
        <v>142</v>
      </c>
      <c r="E12" s="129"/>
      <c r="F12" s="130"/>
      <c r="G12" s="71"/>
      <c r="H12" s="89"/>
      <c r="I12" s="74"/>
      <c r="J12" s="74">
        <f>SUBTOTAL(9,J13:J16)</f>
        <v>1935</v>
      </c>
      <c r="K12" s="95"/>
      <c r="L12" s="95"/>
      <c r="M12" s="99"/>
      <c r="N12" s="74"/>
      <c r="O12" s="74">
        <f>SUBTOTAL(9,O13:O16)</f>
        <v>1044.9000000000001</v>
      </c>
      <c r="P12" s="103"/>
      <c r="Q12" s="106"/>
    </row>
    <row r="13" spans="1:17" ht="36" outlineLevel="2" x14ac:dyDescent="0.2">
      <c r="A13" t="s">
        <v>431</v>
      </c>
      <c r="C13" s="39"/>
      <c r="D13" s="84" t="s">
        <v>143</v>
      </c>
      <c r="E13" s="58" t="s">
        <v>160</v>
      </c>
      <c r="F13" s="58" t="s">
        <v>171</v>
      </c>
      <c r="G13" s="72">
        <v>1</v>
      </c>
      <c r="H13" s="91">
        <f>G13*H11</f>
        <v>1</v>
      </c>
      <c r="I13" s="46">
        <v>1199</v>
      </c>
      <c r="J13" s="46">
        <f>I13*H13</f>
        <v>1199</v>
      </c>
      <c r="K13" s="97">
        <f>ROUND(Discount!F53,10)</f>
        <v>0.54</v>
      </c>
      <c r="L13" s="97">
        <f>1-ROUND(Discount!F53,10)</f>
        <v>0.45999999999999996</v>
      </c>
      <c r="M13" s="48">
        <f>PHUAWEIHW1</f>
        <v>1</v>
      </c>
      <c r="N13" s="46">
        <f>ROUND(I13*QF_SYS_EXCHANGE1*Discount!F53*PHUAWEIHW1,2)</f>
        <v>647.46</v>
      </c>
      <c r="O13" s="46">
        <f>N13*H13</f>
        <v>647.46</v>
      </c>
      <c r="P13" s="105" t="s">
        <v>28</v>
      </c>
      <c r="Q13" s="106"/>
    </row>
    <row r="14" spans="1:17" ht="24" outlineLevel="2" x14ac:dyDescent="0.2">
      <c r="A14" t="s">
        <v>432</v>
      </c>
      <c r="C14" s="39"/>
      <c r="D14" s="84" t="s">
        <v>144</v>
      </c>
      <c r="E14" s="58" t="s">
        <v>161</v>
      </c>
      <c r="F14" s="58" t="s">
        <v>172</v>
      </c>
      <c r="G14" s="72">
        <v>1</v>
      </c>
      <c r="H14" s="91">
        <f>G14*H11</f>
        <v>1</v>
      </c>
      <c r="I14" s="46">
        <v>179</v>
      </c>
      <c r="J14" s="46">
        <f>I14*H14</f>
        <v>179</v>
      </c>
      <c r="K14" s="97">
        <f>ROUND(Discount!F53,10)</f>
        <v>0.54</v>
      </c>
      <c r="L14" s="97">
        <f>1-ROUND(Discount!F53,10)</f>
        <v>0.45999999999999996</v>
      </c>
      <c r="M14" s="48">
        <f>PHUAWEIHW1</f>
        <v>1</v>
      </c>
      <c r="N14" s="46">
        <f>ROUND(I14*QF_SYS_EXCHANGE1*Discount!F53*PHUAWEIHW1,2)</f>
        <v>96.66</v>
      </c>
      <c r="O14" s="46">
        <f>N14*H14</f>
        <v>96.66</v>
      </c>
      <c r="P14" s="105" t="s">
        <v>28</v>
      </c>
      <c r="Q14" s="106"/>
    </row>
    <row r="15" spans="1:17" ht="24" outlineLevel="2" x14ac:dyDescent="0.2">
      <c r="A15" t="s">
        <v>433</v>
      </c>
      <c r="C15" s="39"/>
      <c r="D15" s="84" t="s">
        <v>145</v>
      </c>
      <c r="E15" s="58" t="s">
        <v>162</v>
      </c>
      <c r="F15" s="58" t="s">
        <v>173</v>
      </c>
      <c r="G15" s="72">
        <v>1</v>
      </c>
      <c r="H15" s="91">
        <f>G15*H11</f>
        <v>1</v>
      </c>
      <c r="I15" s="46">
        <v>59</v>
      </c>
      <c r="J15" s="46">
        <f>I15*H15</f>
        <v>59</v>
      </c>
      <c r="K15" s="97">
        <f>ROUND(Discount!F53,10)</f>
        <v>0.54</v>
      </c>
      <c r="L15" s="97">
        <f>1-ROUND(Discount!F53,10)</f>
        <v>0.45999999999999996</v>
      </c>
      <c r="M15" s="48">
        <f>PHUAWEIHW1</f>
        <v>1</v>
      </c>
      <c r="N15" s="46">
        <f>ROUND(I15*QF_SYS_EXCHANGE1*Discount!F53*PHUAWEIHW1,2)</f>
        <v>31.86</v>
      </c>
      <c r="O15" s="46">
        <f>N15*H15</f>
        <v>31.86</v>
      </c>
      <c r="P15" s="105" t="s">
        <v>28</v>
      </c>
      <c r="Q15" s="106"/>
    </row>
    <row r="16" spans="1:17" outlineLevel="2" x14ac:dyDescent="0.2">
      <c r="A16" t="s">
        <v>434</v>
      </c>
      <c r="C16" s="39"/>
      <c r="D16" s="84" t="s">
        <v>146</v>
      </c>
      <c r="E16" s="58" t="s">
        <v>163</v>
      </c>
      <c r="F16" s="58" t="s">
        <v>174</v>
      </c>
      <c r="G16" s="72">
        <v>2</v>
      </c>
      <c r="H16" s="91">
        <f>G16*H11</f>
        <v>2</v>
      </c>
      <c r="I16" s="46">
        <v>249</v>
      </c>
      <c r="J16" s="46">
        <f>I16*H16</f>
        <v>498</v>
      </c>
      <c r="K16" s="97">
        <f>ROUND(Discount!F53,10)</f>
        <v>0.54</v>
      </c>
      <c r="L16" s="97">
        <f>1-ROUND(Discount!F53,10)</f>
        <v>0.45999999999999996</v>
      </c>
      <c r="M16" s="48">
        <f>PHUAWEIHW1</f>
        <v>1</v>
      </c>
      <c r="N16" s="46">
        <f>ROUND(I16*QF_SYS_EXCHANGE1*Discount!F53*PHUAWEIHW1,2)</f>
        <v>134.46</v>
      </c>
      <c r="O16" s="46">
        <f>N16*H16</f>
        <v>268.92</v>
      </c>
      <c r="P16" s="105" t="s">
        <v>28</v>
      </c>
      <c r="Q16" s="106"/>
    </row>
    <row r="17" spans="1:17" outlineLevel="1" x14ac:dyDescent="0.2">
      <c r="A17" t="s">
        <v>435</v>
      </c>
      <c r="C17" s="68" t="s">
        <v>436</v>
      </c>
      <c r="D17" s="129" t="s">
        <v>147</v>
      </c>
      <c r="E17" s="129"/>
      <c r="F17" s="130"/>
      <c r="G17" s="71"/>
      <c r="H17" s="89"/>
      <c r="I17" s="74"/>
      <c r="J17" s="74">
        <f>SUBTOTAL(9,J18:J18)</f>
        <v>759</v>
      </c>
      <c r="K17" s="95"/>
      <c r="L17" s="95"/>
      <c r="M17" s="99"/>
      <c r="N17" s="74"/>
      <c r="O17" s="74">
        <f>SUBTOTAL(9,O18:O18)</f>
        <v>409.86</v>
      </c>
      <c r="P17" s="103"/>
      <c r="Q17" s="106"/>
    </row>
    <row r="18" spans="1:17" ht="36" outlineLevel="2" x14ac:dyDescent="0.2">
      <c r="A18" t="s">
        <v>437</v>
      </c>
      <c r="C18" s="39"/>
      <c r="D18" s="84" t="s">
        <v>182</v>
      </c>
      <c r="E18" s="58" t="s">
        <v>186</v>
      </c>
      <c r="F18" s="58" t="s">
        <v>189</v>
      </c>
      <c r="G18" s="72">
        <v>1</v>
      </c>
      <c r="H18" s="91">
        <f>G18*H11</f>
        <v>1</v>
      </c>
      <c r="I18" s="46">
        <v>759</v>
      </c>
      <c r="J18" s="46">
        <f>I18*H18</f>
        <v>759</v>
      </c>
      <c r="K18" s="97">
        <f>ROUND(Discount!F53,10)</f>
        <v>0.54</v>
      </c>
      <c r="L18" s="97">
        <f>1-ROUND(Discount!F53,10)</f>
        <v>0.45999999999999996</v>
      </c>
      <c r="M18" s="48">
        <f>PHUAWEIHW1</f>
        <v>1</v>
      </c>
      <c r="N18" s="46">
        <f>ROUND(I18*QF_SYS_EXCHANGE1*Discount!F53*PHUAWEIHW1,2)</f>
        <v>409.86</v>
      </c>
      <c r="O18" s="46">
        <f>N18*H18</f>
        <v>409.86</v>
      </c>
      <c r="P18" s="105" t="s">
        <v>28</v>
      </c>
      <c r="Q18" s="106"/>
    </row>
    <row r="19" spans="1:17" outlineLevel="1" x14ac:dyDescent="0.2">
      <c r="A19" t="s">
        <v>438</v>
      </c>
      <c r="C19" s="68" t="s">
        <v>439</v>
      </c>
      <c r="D19" s="129" t="s">
        <v>149</v>
      </c>
      <c r="E19" s="129"/>
      <c r="F19" s="130"/>
      <c r="G19" s="71"/>
      <c r="H19" s="89"/>
      <c r="I19" s="74"/>
      <c r="J19" s="74">
        <f>SUBTOTAL(9,J20:J20)</f>
        <v>518</v>
      </c>
      <c r="K19" s="95"/>
      <c r="L19" s="95"/>
      <c r="M19" s="99"/>
      <c r="N19" s="74"/>
      <c r="O19" s="74">
        <f>SUBTOTAL(9,O20:O20)</f>
        <v>279.72000000000003</v>
      </c>
      <c r="P19" s="103"/>
      <c r="Q19" s="106"/>
    </row>
    <row r="20" spans="1:17" ht="36" outlineLevel="2" x14ac:dyDescent="0.2">
      <c r="A20" t="s">
        <v>440</v>
      </c>
      <c r="C20" s="39"/>
      <c r="D20" s="84" t="s">
        <v>150</v>
      </c>
      <c r="E20" s="58" t="s">
        <v>165</v>
      </c>
      <c r="F20" s="58" t="s">
        <v>176</v>
      </c>
      <c r="G20" s="72">
        <v>2</v>
      </c>
      <c r="H20" s="91">
        <f>G20*H11</f>
        <v>2</v>
      </c>
      <c r="I20" s="46">
        <v>259</v>
      </c>
      <c r="J20" s="46">
        <f>I20*H20</f>
        <v>518</v>
      </c>
      <c r="K20" s="97">
        <f>ROUND(Discount!F53,10)</f>
        <v>0.54</v>
      </c>
      <c r="L20" s="97">
        <f>1-ROUND(Discount!F53,10)</f>
        <v>0.45999999999999996</v>
      </c>
      <c r="M20" s="48">
        <f>PHUAWEIHW1</f>
        <v>1</v>
      </c>
      <c r="N20" s="46">
        <f>ROUND(I20*QF_SYS_EXCHANGE1*Discount!F53*PHUAWEIHW1,2)</f>
        <v>139.86000000000001</v>
      </c>
      <c r="O20" s="46">
        <f>N20*H20</f>
        <v>279.72000000000003</v>
      </c>
      <c r="P20" s="105" t="s">
        <v>28</v>
      </c>
      <c r="Q20" s="106"/>
    </row>
    <row r="21" spans="1:17" outlineLevel="1" x14ac:dyDescent="0.2">
      <c r="A21" t="s">
        <v>441</v>
      </c>
      <c r="C21" s="68" t="s">
        <v>442</v>
      </c>
      <c r="D21" s="129" t="s">
        <v>151</v>
      </c>
      <c r="E21" s="129"/>
      <c r="F21" s="130"/>
      <c r="G21" s="71"/>
      <c r="H21" s="89"/>
      <c r="I21" s="74"/>
      <c r="J21" s="74">
        <f>SUBTOTAL(9,J22:J22)</f>
        <v>4396</v>
      </c>
      <c r="K21" s="95"/>
      <c r="L21" s="95"/>
      <c r="M21" s="99"/>
      <c r="N21" s="74"/>
      <c r="O21" s="74">
        <f>SUBTOTAL(9,O22:O22)</f>
        <v>2373.84</v>
      </c>
      <c r="P21" s="103"/>
      <c r="Q21" s="106"/>
    </row>
    <row r="22" spans="1:17" ht="24" outlineLevel="2" x14ac:dyDescent="0.2">
      <c r="A22" t="s">
        <v>443</v>
      </c>
      <c r="C22" s="39"/>
      <c r="D22" s="84" t="s">
        <v>183</v>
      </c>
      <c r="E22" s="58" t="s">
        <v>187</v>
      </c>
      <c r="F22" s="58" t="s">
        <v>190</v>
      </c>
      <c r="G22" s="72">
        <v>4</v>
      </c>
      <c r="H22" s="91">
        <f>G22*H11</f>
        <v>4</v>
      </c>
      <c r="I22" s="46">
        <v>1099</v>
      </c>
      <c r="J22" s="46">
        <f>I22*H22</f>
        <v>4396</v>
      </c>
      <c r="K22" s="97">
        <f>ROUND(Discount!F53,10)</f>
        <v>0.54</v>
      </c>
      <c r="L22" s="97">
        <f>1-ROUND(Discount!F53,10)</f>
        <v>0.45999999999999996</v>
      </c>
      <c r="M22" s="48">
        <f>PHUAWEIHW1</f>
        <v>1</v>
      </c>
      <c r="N22" s="46">
        <f>ROUND(I22*QF_SYS_EXCHANGE1*Discount!F53*PHUAWEIHW1,2)</f>
        <v>593.46</v>
      </c>
      <c r="O22" s="46">
        <f>N22*H22</f>
        <v>2373.84</v>
      </c>
      <c r="P22" s="105" t="s">
        <v>28</v>
      </c>
      <c r="Q22" s="106"/>
    </row>
    <row r="23" spans="1:17" outlineLevel="1" x14ac:dyDescent="0.2">
      <c r="A23" t="s">
        <v>444</v>
      </c>
      <c r="C23" s="68" t="s">
        <v>445</v>
      </c>
      <c r="D23" s="129" t="s">
        <v>153</v>
      </c>
      <c r="E23" s="129"/>
      <c r="F23" s="130"/>
      <c r="G23" s="71"/>
      <c r="H23" s="89"/>
      <c r="I23" s="74"/>
      <c r="J23" s="74">
        <f>SUBTOTAL(9,J24:J24)</f>
        <v>199</v>
      </c>
      <c r="K23" s="95"/>
      <c r="L23" s="95"/>
      <c r="M23" s="99"/>
      <c r="N23" s="74"/>
      <c r="O23" s="74">
        <f>SUBTOTAL(9,O24:O24)</f>
        <v>107.46</v>
      </c>
      <c r="P23" s="103"/>
      <c r="Q23" s="106"/>
    </row>
    <row r="24" spans="1:17" ht="48" outlineLevel="2" x14ac:dyDescent="0.2">
      <c r="A24" t="s">
        <v>446</v>
      </c>
      <c r="C24" s="39"/>
      <c r="D24" s="84" t="s">
        <v>154</v>
      </c>
      <c r="E24" s="58" t="s">
        <v>167</v>
      </c>
      <c r="F24" s="58" t="s">
        <v>178</v>
      </c>
      <c r="G24" s="72">
        <v>1</v>
      </c>
      <c r="H24" s="91">
        <f>G24*H11</f>
        <v>1</v>
      </c>
      <c r="I24" s="46">
        <v>199</v>
      </c>
      <c r="J24" s="46">
        <f>I24*H24</f>
        <v>199</v>
      </c>
      <c r="K24" s="97">
        <f>ROUND(Discount!F53,10)</f>
        <v>0.54</v>
      </c>
      <c r="L24" s="97">
        <f>1-ROUND(Discount!F53,10)</f>
        <v>0.45999999999999996</v>
      </c>
      <c r="M24" s="48">
        <f>PHUAWEIHW1</f>
        <v>1</v>
      </c>
      <c r="N24" s="46">
        <f>ROUND(I24*QF_SYS_EXCHANGE1*Discount!F53*PHUAWEIHW1,2)</f>
        <v>107.46</v>
      </c>
      <c r="O24" s="46">
        <f>N24*H24</f>
        <v>107.46</v>
      </c>
      <c r="P24" s="105" t="s">
        <v>28</v>
      </c>
      <c r="Q24" s="106"/>
    </row>
    <row r="25" spans="1:17" outlineLevel="1" x14ac:dyDescent="0.2">
      <c r="A25" t="s">
        <v>447</v>
      </c>
      <c r="C25" s="68" t="s">
        <v>448</v>
      </c>
      <c r="D25" s="129" t="s">
        <v>155</v>
      </c>
      <c r="E25" s="129"/>
      <c r="F25" s="130"/>
      <c r="G25" s="71"/>
      <c r="H25" s="89"/>
      <c r="I25" s="74"/>
      <c r="J25" s="74">
        <f>SUBTOTAL(9,J26:J26)</f>
        <v>28</v>
      </c>
      <c r="K25" s="95"/>
      <c r="L25" s="95"/>
      <c r="M25" s="99"/>
      <c r="N25" s="74"/>
      <c r="O25" s="74">
        <f>SUBTOTAL(9,O26:O26)</f>
        <v>25.76</v>
      </c>
      <c r="P25" s="103"/>
      <c r="Q25" s="106"/>
    </row>
    <row r="26" spans="1:17" outlineLevel="2" x14ac:dyDescent="0.2">
      <c r="A26" t="s">
        <v>449</v>
      </c>
      <c r="C26" s="39"/>
      <c r="D26" s="84" t="s">
        <v>156</v>
      </c>
      <c r="E26" s="58" t="s">
        <v>168</v>
      </c>
      <c r="F26" s="58" t="s">
        <v>179</v>
      </c>
      <c r="G26" s="72">
        <v>1</v>
      </c>
      <c r="H26" s="91">
        <f>G26*H11</f>
        <v>1</v>
      </c>
      <c r="I26" s="46">
        <v>28</v>
      </c>
      <c r="J26" s="46">
        <f>I26*H26</f>
        <v>28</v>
      </c>
      <c r="K26" s="97">
        <f>ROUND(Discount!F54,10)</f>
        <v>0.92</v>
      </c>
      <c r="L26" s="97">
        <f>1-ROUND(Discount!F54,10)</f>
        <v>7.999999999999996E-2</v>
      </c>
      <c r="M26" s="48">
        <f>POUTSOURINGHW1</f>
        <v>1</v>
      </c>
      <c r="N26" s="46">
        <f>ROUND(I26*QF_SYS_EXCHANGE1*Discount!F54*POUTSOURINGHW1,2)</f>
        <v>25.76</v>
      </c>
      <c r="O26" s="46">
        <f>N26*H26</f>
        <v>25.76</v>
      </c>
      <c r="P26" s="105" t="s">
        <v>29</v>
      </c>
      <c r="Q26" s="106"/>
    </row>
    <row r="27" spans="1:17" outlineLevel="1" x14ac:dyDescent="0.2">
      <c r="A27" t="s">
        <v>450</v>
      </c>
      <c r="C27" s="68" t="s">
        <v>451</v>
      </c>
      <c r="D27" s="129" t="s">
        <v>157</v>
      </c>
      <c r="E27" s="129"/>
      <c r="F27" s="130"/>
      <c r="G27" s="71"/>
      <c r="H27" s="89"/>
      <c r="I27" s="74"/>
      <c r="J27" s="74">
        <f>SUBTOTAL(9,J29:J29)</f>
        <v>821</v>
      </c>
      <c r="K27" s="95"/>
      <c r="L27" s="95"/>
      <c r="M27" s="99"/>
      <c r="N27" s="74"/>
      <c r="O27" s="74">
        <f>SUBTOTAL(9,O29:O29)</f>
        <v>755.32</v>
      </c>
      <c r="P27" s="103"/>
      <c r="Q27" s="106"/>
    </row>
    <row r="28" spans="1:17" outlineLevel="2" x14ac:dyDescent="0.2">
      <c r="A28" t="s">
        <v>452</v>
      </c>
      <c r="C28" s="82" t="s">
        <v>453</v>
      </c>
      <c r="D28" s="135" t="s">
        <v>184</v>
      </c>
      <c r="E28" s="135"/>
      <c r="F28" s="136"/>
      <c r="G28" s="86"/>
      <c r="H28" s="90"/>
      <c r="I28" s="92"/>
      <c r="J28" s="92">
        <f>SUBTOTAL(9,J29:J29)</f>
        <v>821</v>
      </c>
      <c r="K28" s="96"/>
      <c r="L28" s="96"/>
      <c r="M28" s="100"/>
      <c r="N28" s="92"/>
      <c r="O28" s="92">
        <f>SUBTOTAL(9,O29:O29)</f>
        <v>755.32</v>
      </c>
      <c r="P28" s="104"/>
      <c r="Q28" s="106"/>
    </row>
    <row r="29" spans="1:17" ht="60" outlineLevel="3" x14ac:dyDescent="0.2">
      <c r="A29" t="s">
        <v>454</v>
      </c>
      <c r="C29" s="39"/>
      <c r="D29" s="84" t="s">
        <v>185</v>
      </c>
      <c r="E29" s="58" t="s">
        <v>188</v>
      </c>
      <c r="F29" s="58" t="s">
        <v>191</v>
      </c>
      <c r="G29" s="72">
        <v>1</v>
      </c>
      <c r="H29" s="91">
        <f>G29*H11</f>
        <v>1</v>
      </c>
      <c r="I29" s="46">
        <v>821</v>
      </c>
      <c r="J29" s="46">
        <f>I29*H29</f>
        <v>821</v>
      </c>
      <c r="K29" s="97">
        <f>ROUND(Discount!F54,10)</f>
        <v>0.92</v>
      </c>
      <c r="L29" s="97">
        <f>1-ROUND(Discount!F54,10)</f>
        <v>7.999999999999996E-2</v>
      </c>
      <c r="M29" s="48">
        <f>POUTSOURINGHW1</f>
        <v>1</v>
      </c>
      <c r="N29" s="46">
        <f>ROUND(I29*QF_SYS_EXCHANGE1*Discount!F54*POUTSOURINGHW1,2)</f>
        <v>755.32</v>
      </c>
      <c r="O29" s="46">
        <f>N29*H29</f>
        <v>755.32</v>
      </c>
      <c r="P29" s="105" t="s">
        <v>29</v>
      </c>
      <c r="Q29" s="106"/>
    </row>
    <row r="30" spans="1:17" outlineLevel="1" x14ac:dyDescent="0.2">
      <c r="A30" t="s">
        <v>455</v>
      </c>
      <c r="C30" s="68" t="s">
        <v>456</v>
      </c>
      <c r="D30" s="129" t="s">
        <v>86</v>
      </c>
      <c r="E30" s="129"/>
      <c r="F30" s="130"/>
      <c r="G30" s="71"/>
      <c r="H30" s="89"/>
      <c r="I30" s="74"/>
      <c r="J30" s="74">
        <f>SUBTOTAL(9,J31:J31)</f>
        <v>228.357</v>
      </c>
      <c r="K30" s="95"/>
      <c r="L30" s="95"/>
      <c r="M30" s="99"/>
      <c r="N30" s="74"/>
      <c r="O30" s="74">
        <f>SUBTOTAL(9,O31:O31)</f>
        <v>95.91</v>
      </c>
      <c r="P30" s="103"/>
      <c r="Q30" s="106"/>
    </row>
    <row r="31" spans="1:17" ht="36" outlineLevel="2" x14ac:dyDescent="0.2">
      <c r="A31" t="s">
        <v>457</v>
      </c>
      <c r="C31" s="50"/>
      <c r="D31" s="107" t="s">
        <v>87</v>
      </c>
      <c r="E31" s="108" t="s">
        <v>170</v>
      </c>
      <c r="F31" s="108" t="s">
        <v>181</v>
      </c>
      <c r="G31" s="109">
        <v>1</v>
      </c>
      <c r="H31" s="110">
        <f>G31*H11</f>
        <v>1</v>
      </c>
      <c r="I31" s="54">
        <v>228.357</v>
      </c>
      <c r="J31" s="54">
        <f>I31*H31</f>
        <v>228.357</v>
      </c>
      <c r="K31" s="111">
        <f>ROUND(Discount!F55,10)</f>
        <v>0.42</v>
      </c>
      <c r="L31" s="111">
        <f>1-ROUND(Discount!F55,10)</f>
        <v>0.58000000000000007</v>
      </c>
      <c r="M31" s="55">
        <f>PHUAWEISERVICE1</f>
        <v>1</v>
      </c>
      <c r="N31" s="54">
        <f>ROUND(I31*QF_SYS_EXCHANGE1*Discount!F55*PHUAWEISERVICE1,2)</f>
        <v>95.91</v>
      </c>
      <c r="O31" s="54">
        <f>N31*H31</f>
        <v>95.91</v>
      </c>
      <c r="P31" s="112" t="s">
        <v>40</v>
      </c>
      <c r="Q31" s="106"/>
    </row>
  </sheetData>
  <mergeCells count="11">
    <mergeCell ref="D10:F10"/>
    <mergeCell ref="D11:F11"/>
    <mergeCell ref="D12:F12"/>
    <mergeCell ref="D17:F17"/>
    <mergeCell ref="D19:F19"/>
    <mergeCell ref="D30:F30"/>
    <mergeCell ref="D21:F21"/>
    <mergeCell ref="D23:F23"/>
    <mergeCell ref="D25:F25"/>
    <mergeCell ref="D27:F27"/>
    <mergeCell ref="D28:F28"/>
  </mergeCells>
  <pageMargins left="0.51181102362204722" right="0.51181102362204722" top="0.51181102362204722" bottom="0.47244094488188981" header="7.874015748031496E-2" footer="0.1968503937007874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1"/>
  <sheetViews>
    <sheetView topLeftCell="B2" workbookViewId="0"/>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458</v>
      </c>
      <c r="C10" s="38"/>
      <c r="D10" s="131" t="s">
        <v>67</v>
      </c>
      <c r="E10" s="131"/>
      <c r="F10" s="132"/>
      <c r="G10" s="85"/>
      <c r="H10" s="87"/>
      <c r="I10" s="45"/>
      <c r="J10" s="45"/>
      <c r="K10" s="93"/>
      <c r="L10" s="93"/>
      <c r="M10" s="47"/>
      <c r="N10" s="45"/>
      <c r="O10" s="45"/>
      <c r="P10" s="101"/>
      <c r="Q10" s="106"/>
    </row>
    <row r="11" spans="1:17" x14ac:dyDescent="0.2">
      <c r="A11" t="s">
        <v>459</v>
      </c>
      <c r="C11" s="69" t="s">
        <v>295</v>
      </c>
      <c r="D11" s="133" t="s">
        <v>39</v>
      </c>
      <c r="E11" s="133"/>
      <c r="F11" s="134"/>
      <c r="G11" s="73"/>
      <c r="H11" s="88">
        <v>1</v>
      </c>
      <c r="I11" s="75">
        <f>IF(OR(H11="",J11=""),"",J11/IF(H11=0,1,H11))</f>
        <v>6487.357</v>
      </c>
      <c r="J11" s="75">
        <f>J12+J17+J19+J21+J23+J25+J27+J30</f>
        <v>6487.357</v>
      </c>
      <c r="K11" s="94"/>
      <c r="L11" s="94"/>
      <c r="M11" s="98"/>
      <c r="N11" s="75">
        <f>IF(OR(H11="",O11=""),"",O11/IF(H11=0,1,H11))</f>
        <v>3798.3900000000003</v>
      </c>
      <c r="O11" s="75">
        <f>O12+O17+O19+O21+O23+O25+O27+O30</f>
        <v>3798.3900000000003</v>
      </c>
      <c r="P11" s="102"/>
      <c r="Q11" s="106"/>
    </row>
    <row r="12" spans="1:17" outlineLevel="1" x14ac:dyDescent="0.2">
      <c r="A12" t="s">
        <v>460</v>
      </c>
      <c r="C12" s="68" t="s">
        <v>461</v>
      </c>
      <c r="D12" s="129" t="s">
        <v>142</v>
      </c>
      <c r="E12" s="129"/>
      <c r="F12" s="130"/>
      <c r="G12" s="71"/>
      <c r="H12" s="89"/>
      <c r="I12" s="74"/>
      <c r="J12" s="74">
        <f>SUBTOTAL(9,J13:J16)</f>
        <v>1935</v>
      </c>
      <c r="K12" s="95"/>
      <c r="L12" s="95"/>
      <c r="M12" s="99"/>
      <c r="N12" s="74"/>
      <c r="O12" s="74">
        <f>SUBTOTAL(9,O13:O16)</f>
        <v>1044.9000000000001</v>
      </c>
      <c r="P12" s="103"/>
      <c r="Q12" s="106"/>
    </row>
    <row r="13" spans="1:17" ht="36" outlineLevel="2" x14ac:dyDescent="0.2">
      <c r="A13" t="s">
        <v>462</v>
      </c>
      <c r="C13" s="39"/>
      <c r="D13" s="84" t="s">
        <v>143</v>
      </c>
      <c r="E13" s="58" t="s">
        <v>160</v>
      </c>
      <c r="F13" s="58" t="s">
        <v>171</v>
      </c>
      <c r="G13" s="72">
        <v>1</v>
      </c>
      <c r="H13" s="91">
        <f>G13*H11</f>
        <v>1</v>
      </c>
      <c r="I13" s="46">
        <v>1199</v>
      </c>
      <c r="J13" s="46">
        <f>I13*H13</f>
        <v>1199</v>
      </c>
      <c r="K13" s="97">
        <f>ROUND(Discount!F53,10)</f>
        <v>0.54</v>
      </c>
      <c r="L13" s="97">
        <f>1-ROUND(Discount!F53,10)</f>
        <v>0.45999999999999996</v>
      </c>
      <c r="M13" s="48">
        <f>PHUAWEIHW1</f>
        <v>1</v>
      </c>
      <c r="N13" s="46">
        <f>ROUND(I13*QF_SYS_EXCHANGE1*Discount!F53*PHUAWEIHW1,2)</f>
        <v>647.46</v>
      </c>
      <c r="O13" s="46">
        <f>N13*H13</f>
        <v>647.46</v>
      </c>
      <c r="P13" s="105" t="s">
        <v>28</v>
      </c>
      <c r="Q13" s="106"/>
    </row>
    <row r="14" spans="1:17" ht="24" outlineLevel="2" x14ac:dyDescent="0.2">
      <c r="A14" t="s">
        <v>463</v>
      </c>
      <c r="C14" s="39"/>
      <c r="D14" s="84" t="s">
        <v>144</v>
      </c>
      <c r="E14" s="58" t="s">
        <v>161</v>
      </c>
      <c r="F14" s="58" t="s">
        <v>172</v>
      </c>
      <c r="G14" s="72">
        <v>1</v>
      </c>
      <c r="H14" s="91">
        <f>G14*H11</f>
        <v>1</v>
      </c>
      <c r="I14" s="46">
        <v>179</v>
      </c>
      <c r="J14" s="46">
        <f>I14*H14</f>
        <v>179</v>
      </c>
      <c r="K14" s="97">
        <f>ROUND(Discount!F53,10)</f>
        <v>0.54</v>
      </c>
      <c r="L14" s="97">
        <f>1-ROUND(Discount!F53,10)</f>
        <v>0.45999999999999996</v>
      </c>
      <c r="M14" s="48">
        <f>PHUAWEIHW1</f>
        <v>1</v>
      </c>
      <c r="N14" s="46">
        <f>ROUND(I14*QF_SYS_EXCHANGE1*Discount!F53*PHUAWEIHW1,2)</f>
        <v>96.66</v>
      </c>
      <c r="O14" s="46">
        <f>N14*H14</f>
        <v>96.66</v>
      </c>
      <c r="P14" s="105" t="s">
        <v>28</v>
      </c>
      <c r="Q14" s="106"/>
    </row>
    <row r="15" spans="1:17" ht="24" outlineLevel="2" x14ac:dyDescent="0.2">
      <c r="A15" t="s">
        <v>464</v>
      </c>
      <c r="C15" s="39"/>
      <c r="D15" s="84" t="s">
        <v>145</v>
      </c>
      <c r="E15" s="58" t="s">
        <v>162</v>
      </c>
      <c r="F15" s="58" t="s">
        <v>173</v>
      </c>
      <c r="G15" s="72">
        <v>1</v>
      </c>
      <c r="H15" s="91">
        <f>G15*H11</f>
        <v>1</v>
      </c>
      <c r="I15" s="46">
        <v>59</v>
      </c>
      <c r="J15" s="46">
        <f>I15*H15</f>
        <v>59</v>
      </c>
      <c r="K15" s="97">
        <f>ROUND(Discount!F53,10)</f>
        <v>0.54</v>
      </c>
      <c r="L15" s="97">
        <f>1-ROUND(Discount!F53,10)</f>
        <v>0.45999999999999996</v>
      </c>
      <c r="M15" s="48">
        <f>PHUAWEIHW1</f>
        <v>1</v>
      </c>
      <c r="N15" s="46">
        <f>ROUND(I15*QF_SYS_EXCHANGE1*Discount!F53*PHUAWEIHW1,2)</f>
        <v>31.86</v>
      </c>
      <c r="O15" s="46">
        <f>N15*H15</f>
        <v>31.86</v>
      </c>
      <c r="P15" s="105" t="s">
        <v>28</v>
      </c>
      <c r="Q15" s="106"/>
    </row>
    <row r="16" spans="1:17" outlineLevel="2" x14ac:dyDescent="0.2">
      <c r="A16" t="s">
        <v>465</v>
      </c>
      <c r="C16" s="39"/>
      <c r="D16" s="84" t="s">
        <v>146</v>
      </c>
      <c r="E16" s="58" t="s">
        <v>163</v>
      </c>
      <c r="F16" s="58" t="s">
        <v>174</v>
      </c>
      <c r="G16" s="72">
        <v>2</v>
      </c>
      <c r="H16" s="91">
        <f>G16*H11</f>
        <v>2</v>
      </c>
      <c r="I16" s="46">
        <v>249</v>
      </c>
      <c r="J16" s="46">
        <f>I16*H16</f>
        <v>498</v>
      </c>
      <c r="K16" s="97">
        <f>ROUND(Discount!F53,10)</f>
        <v>0.54</v>
      </c>
      <c r="L16" s="97">
        <f>1-ROUND(Discount!F53,10)</f>
        <v>0.45999999999999996</v>
      </c>
      <c r="M16" s="48">
        <f>PHUAWEIHW1</f>
        <v>1</v>
      </c>
      <c r="N16" s="46">
        <f>ROUND(I16*QF_SYS_EXCHANGE1*Discount!F53*PHUAWEIHW1,2)</f>
        <v>134.46</v>
      </c>
      <c r="O16" s="46">
        <f>N16*H16</f>
        <v>268.92</v>
      </c>
      <c r="P16" s="105" t="s">
        <v>28</v>
      </c>
      <c r="Q16" s="106"/>
    </row>
    <row r="17" spans="1:17" outlineLevel="1" x14ac:dyDescent="0.2">
      <c r="A17" t="s">
        <v>466</v>
      </c>
      <c r="C17" s="68" t="s">
        <v>467</v>
      </c>
      <c r="D17" s="129" t="s">
        <v>147</v>
      </c>
      <c r="E17" s="129"/>
      <c r="F17" s="130"/>
      <c r="G17" s="71"/>
      <c r="H17" s="89"/>
      <c r="I17" s="74"/>
      <c r="J17" s="74">
        <f>SUBTOTAL(9,J18:J18)</f>
        <v>819</v>
      </c>
      <c r="K17" s="95"/>
      <c r="L17" s="95"/>
      <c r="M17" s="99"/>
      <c r="N17" s="74"/>
      <c r="O17" s="74">
        <f>SUBTOTAL(9,O18:O18)</f>
        <v>442.26</v>
      </c>
      <c r="P17" s="103"/>
      <c r="Q17" s="106"/>
    </row>
    <row r="18" spans="1:17" ht="36" outlineLevel="2" x14ac:dyDescent="0.2">
      <c r="A18" t="s">
        <v>468</v>
      </c>
      <c r="C18" s="39"/>
      <c r="D18" s="84" t="s">
        <v>148</v>
      </c>
      <c r="E18" s="58" t="s">
        <v>164</v>
      </c>
      <c r="F18" s="58" t="s">
        <v>175</v>
      </c>
      <c r="G18" s="72">
        <v>1</v>
      </c>
      <c r="H18" s="91">
        <f>G18*H11</f>
        <v>1</v>
      </c>
      <c r="I18" s="46">
        <v>819</v>
      </c>
      <c r="J18" s="46">
        <f>I18*H18</f>
        <v>819</v>
      </c>
      <c r="K18" s="97">
        <f>ROUND(Discount!F53,10)</f>
        <v>0.54</v>
      </c>
      <c r="L18" s="97">
        <f>1-ROUND(Discount!F53,10)</f>
        <v>0.45999999999999996</v>
      </c>
      <c r="M18" s="48">
        <f>PHUAWEIHW1</f>
        <v>1</v>
      </c>
      <c r="N18" s="46">
        <f>ROUND(I18*QF_SYS_EXCHANGE1*Discount!F53*PHUAWEIHW1,2)</f>
        <v>442.26</v>
      </c>
      <c r="O18" s="46">
        <f>N18*H18</f>
        <v>442.26</v>
      </c>
      <c r="P18" s="105" t="s">
        <v>28</v>
      </c>
      <c r="Q18" s="106"/>
    </row>
    <row r="19" spans="1:17" outlineLevel="1" x14ac:dyDescent="0.2">
      <c r="A19" t="s">
        <v>469</v>
      </c>
      <c r="C19" s="68" t="s">
        <v>470</v>
      </c>
      <c r="D19" s="129" t="s">
        <v>149</v>
      </c>
      <c r="E19" s="129"/>
      <c r="F19" s="130"/>
      <c r="G19" s="71"/>
      <c r="H19" s="89"/>
      <c r="I19" s="74"/>
      <c r="J19" s="74">
        <f>SUBTOTAL(9,J20:J20)</f>
        <v>259</v>
      </c>
      <c r="K19" s="95"/>
      <c r="L19" s="95"/>
      <c r="M19" s="99"/>
      <c r="N19" s="74"/>
      <c r="O19" s="74">
        <f>SUBTOTAL(9,O20:O20)</f>
        <v>139.86000000000001</v>
      </c>
      <c r="P19" s="103"/>
      <c r="Q19" s="106"/>
    </row>
    <row r="20" spans="1:17" ht="36" outlineLevel="2" x14ac:dyDescent="0.2">
      <c r="A20" t="s">
        <v>471</v>
      </c>
      <c r="C20" s="39"/>
      <c r="D20" s="84" t="s">
        <v>150</v>
      </c>
      <c r="E20" s="58" t="s">
        <v>165</v>
      </c>
      <c r="F20" s="58" t="s">
        <v>176</v>
      </c>
      <c r="G20" s="72">
        <v>1</v>
      </c>
      <c r="H20" s="91">
        <f>G20*H11</f>
        <v>1</v>
      </c>
      <c r="I20" s="46">
        <v>259</v>
      </c>
      <c r="J20" s="46">
        <f>I20*H20</f>
        <v>259</v>
      </c>
      <c r="K20" s="97">
        <f>ROUND(Discount!F53,10)</f>
        <v>0.54</v>
      </c>
      <c r="L20" s="97">
        <f>1-ROUND(Discount!F53,10)</f>
        <v>0.45999999999999996</v>
      </c>
      <c r="M20" s="48">
        <f>PHUAWEIHW1</f>
        <v>1</v>
      </c>
      <c r="N20" s="46">
        <f>ROUND(I20*QF_SYS_EXCHANGE1*Discount!F53*PHUAWEIHW1,2)</f>
        <v>139.86000000000001</v>
      </c>
      <c r="O20" s="46">
        <f>N20*H20</f>
        <v>139.86000000000001</v>
      </c>
      <c r="P20" s="105" t="s">
        <v>28</v>
      </c>
      <c r="Q20" s="106"/>
    </row>
    <row r="21" spans="1:17" outlineLevel="1" x14ac:dyDescent="0.2">
      <c r="A21" t="s">
        <v>472</v>
      </c>
      <c r="C21" s="68" t="s">
        <v>473</v>
      </c>
      <c r="D21" s="129" t="s">
        <v>151</v>
      </c>
      <c r="E21" s="129"/>
      <c r="F21" s="130"/>
      <c r="G21" s="71"/>
      <c r="H21" s="89"/>
      <c r="I21" s="74"/>
      <c r="J21" s="74">
        <f>SUBTOTAL(9,J22:J22)</f>
        <v>2198</v>
      </c>
      <c r="K21" s="95"/>
      <c r="L21" s="95"/>
      <c r="M21" s="99"/>
      <c r="N21" s="74"/>
      <c r="O21" s="74">
        <f>SUBTOTAL(9,O22:O22)</f>
        <v>1186.92</v>
      </c>
      <c r="P21" s="103"/>
      <c r="Q21" s="106"/>
    </row>
    <row r="22" spans="1:17" ht="24" outlineLevel="2" x14ac:dyDescent="0.2">
      <c r="A22" t="s">
        <v>474</v>
      </c>
      <c r="C22" s="39"/>
      <c r="D22" s="84" t="s">
        <v>183</v>
      </c>
      <c r="E22" s="58" t="s">
        <v>187</v>
      </c>
      <c r="F22" s="58" t="s">
        <v>190</v>
      </c>
      <c r="G22" s="72">
        <v>2</v>
      </c>
      <c r="H22" s="91">
        <f>G22*H11</f>
        <v>2</v>
      </c>
      <c r="I22" s="46">
        <v>1099</v>
      </c>
      <c r="J22" s="46">
        <f>I22*H22</f>
        <v>2198</v>
      </c>
      <c r="K22" s="97">
        <f>ROUND(Discount!F53,10)</f>
        <v>0.54</v>
      </c>
      <c r="L22" s="97">
        <f>1-ROUND(Discount!F53,10)</f>
        <v>0.45999999999999996</v>
      </c>
      <c r="M22" s="48">
        <f>PHUAWEIHW1</f>
        <v>1</v>
      </c>
      <c r="N22" s="46">
        <f>ROUND(I22*QF_SYS_EXCHANGE1*Discount!F53*PHUAWEIHW1,2)</f>
        <v>593.46</v>
      </c>
      <c r="O22" s="46">
        <f>N22*H22</f>
        <v>1186.92</v>
      </c>
      <c r="P22" s="105" t="s">
        <v>28</v>
      </c>
      <c r="Q22" s="106"/>
    </row>
    <row r="23" spans="1:17" outlineLevel="1" x14ac:dyDescent="0.2">
      <c r="A23" t="s">
        <v>475</v>
      </c>
      <c r="C23" s="68" t="s">
        <v>476</v>
      </c>
      <c r="D23" s="129" t="s">
        <v>153</v>
      </c>
      <c r="E23" s="129"/>
      <c r="F23" s="130"/>
      <c r="G23" s="71"/>
      <c r="H23" s="89"/>
      <c r="I23" s="74"/>
      <c r="J23" s="74">
        <f>SUBTOTAL(9,J24:J24)</f>
        <v>199</v>
      </c>
      <c r="K23" s="95"/>
      <c r="L23" s="95"/>
      <c r="M23" s="99"/>
      <c r="N23" s="74"/>
      <c r="O23" s="74">
        <f>SUBTOTAL(9,O24:O24)</f>
        <v>107.46</v>
      </c>
      <c r="P23" s="103"/>
      <c r="Q23" s="106"/>
    </row>
    <row r="24" spans="1:17" ht="48" outlineLevel="2" x14ac:dyDescent="0.2">
      <c r="A24" t="s">
        <v>477</v>
      </c>
      <c r="C24" s="39"/>
      <c r="D24" s="84" t="s">
        <v>154</v>
      </c>
      <c r="E24" s="58" t="s">
        <v>167</v>
      </c>
      <c r="F24" s="58" t="s">
        <v>178</v>
      </c>
      <c r="G24" s="72">
        <v>1</v>
      </c>
      <c r="H24" s="91">
        <f>G24*H11</f>
        <v>1</v>
      </c>
      <c r="I24" s="46">
        <v>199</v>
      </c>
      <c r="J24" s="46">
        <f>I24*H24</f>
        <v>199</v>
      </c>
      <c r="K24" s="97">
        <f>ROUND(Discount!F53,10)</f>
        <v>0.54</v>
      </c>
      <c r="L24" s="97">
        <f>1-ROUND(Discount!F53,10)</f>
        <v>0.45999999999999996</v>
      </c>
      <c r="M24" s="48">
        <f>PHUAWEIHW1</f>
        <v>1</v>
      </c>
      <c r="N24" s="46">
        <f>ROUND(I24*QF_SYS_EXCHANGE1*Discount!F53*PHUAWEIHW1,2)</f>
        <v>107.46</v>
      </c>
      <c r="O24" s="46">
        <f>N24*H24</f>
        <v>107.46</v>
      </c>
      <c r="P24" s="105" t="s">
        <v>28</v>
      </c>
      <c r="Q24" s="106"/>
    </row>
    <row r="25" spans="1:17" outlineLevel="1" x14ac:dyDescent="0.2">
      <c r="A25" t="s">
        <v>478</v>
      </c>
      <c r="C25" s="68" t="s">
        <v>479</v>
      </c>
      <c r="D25" s="129" t="s">
        <v>155</v>
      </c>
      <c r="E25" s="129"/>
      <c r="F25" s="130"/>
      <c r="G25" s="71"/>
      <c r="H25" s="89"/>
      <c r="I25" s="74"/>
      <c r="J25" s="74">
        <f>SUBTOTAL(9,J26:J26)</f>
        <v>28</v>
      </c>
      <c r="K25" s="95"/>
      <c r="L25" s="95"/>
      <c r="M25" s="99"/>
      <c r="N25" s="74"/>
      <c r="O25" s="74">
        <f>SUBTOTAL(9,O26:O26)</f>
        <v>25.76</v>
      </c>
      <c r="P25" s="103"/>
      <c r="Q25" s="106"/>
    </row>
    <row r="26" spans="1:17" outlineLevel="2" x14ac:dyDescent="0.2">
      <c r="A26" t="s">
        <v>480</v>
      </c>
      <c r="C26" s="39"/>
      <c r="D26" s="84" t="s">
        <v>156</v>
      </c>
      <c r="E26" s="58" t="s">
        <v>168</v>
      </c>
      <c r="F26" s="58" t="s">
        <v>179</v>
      </c>
      <c r="G26" s="72">
        <v>1</v>
      </c>
      <c r="H26" s="91">
        <f>G26*H11</f>
        <v>1</v>
      </c>
      <c r="I26" s="46">
        <v>28</v>
      </c>
      <c r="J26" s="46">
        <f>I26*H26</f>
        <v>28</v>
      </c>
      <c r="K26" s="97">
        <f>ROUND(Discount!F54,10)</f>
        <v>0.92</v>
      </c>
      <c r="L26" s="97">
        <f>1-ROUND(Discount!F54,10)</f>
        <v>7.999999999999996E-2</v>
      </c>
      <c r="M26" s="48">
        <f>POUTSOURINGHW1</f>
        <v>1</v>
      </c>
      <c r="N26" s="46">
        <f>ROUND(I26*QF_SYS_EXCHANGE1*Discount!F54*POUTSOURINGHW1,2)</f>
        <v>25.76</v>
      </c>
      <c r="O26" s="46">
        <f>N26*H26</f>
        <v>25.76</v>
      </c>
      <c r="P26" s="105" t="s">
        <v>29</v>
      </c>
      <c r="Q26" s="106"/>
    </row>
    <row r="27" spans="1:17" outlineLevel="1" x14ac:dyDescent="0.2">
      <c r="A27" t="s">
        <v>481</v>
      </c>
      <c r="C27" s="68" t="s">
        <v>482</v>
      </c>
      <c r="D27" s="129" t="s">
        <v>157</v>
      </c>
      <c r="E27" s="129"/>
      <c r="F27" s="130"/>
      <c r="G27" s="71"/>
      <c r="H27" s="89"/>
      <c r="I27" s="74"/>
      <c r="J27" s="74">
        <f>SUBTOTAL(9,J29:J29)</f>
        <v>821</v>
      </c>
      <c r="K27" s="95"/>
      <c r="L27" s="95"/>
      <c r="M27" s="99"/>
      <c r="N27" s="74"/>
      <c r="O27" s="74">
        <f>SUBTOTAL(9,O29:O29)</f>
        <v>755.32</v>
      </c>
      <c r="P27" s="103"/>
      <c r="Q27" s="106"/>
    </row>
    <row r="28" spans="1:17" outlineLevel="2" x14ac:dyDescent="0.2">
      <c r="A28" t="s">
        <v>483</v>
      </c>
      <c r="C28" s="82" t="s">
        <v>484</v>
      </c>
      <c r="D28" s="135" t="s">
        <v>184</v>
      </c>
      <c r="E28" s="135"/>
      <c r="F28" s="136"/>
      <c r="G28" s="86"/>
      <c r="H28" s="90"/>
      <c r="I28" s="92"/>
      <c r="J28" s="92">
        <f>SUBTOTAL(9,J29:J29)</f>
        <v>821</v>
      </c>
      <c r="K28" s="96"/>
      <c r="L28" s="96"/>
      <c r="M28" s="100"/>
      <c r="N28" s="92"/>
      <c r="O28" s="92">
        <f>SUBTOTAL(9,O29:O29)</f>
        <v>755.32</v>
      </c>
      <c r="P28" s="104"/>
      <c r="Q28" s="106"/>
    </row>
    <row r="29" spans="1:17" ht="60" outlineLevel="3" x14ac:dyDescent="0.2">
      <c r="A29" t="s">
        <v>485</v>
      </c>
      <c r="C29" s="39"/>
      <c r="D29" s="84" t="s">
        <v>185</v>
      </c>
      <c r="E29" s="58" t="s">
        <v>188</v>
      </c>
      <c r="F29" s="58" t="s">
        <v>191</v>
      </c>
      <c r="G29" s="72">
        <v>1</v>
      </c>
      <c r="H29" s="91">
        <f>G29*H11</f>
        <v>1</v>
      </c>
      <c r="I29" s="46">
        <v>821</v>
      </c>
      <c r="J29" s="46">
        <f>I29*H29</f>
        <v>821</v>
      </c>
      <c r="K29" s="97">
        <f>ROUND(Discount!F54,10)</f>
        <v>0.92</v>
      </c>
      <c r="L29" s="97">
        <f>1-ROUND(Discount!F54,10)</f>
        <v>7.999999999999996E-2</v>
      </c>
      <c r="M29" s="48">
        <f>POUTSOURINGHW1</f>
        <v>1</v>
      </c>
      <c r="N29" s="46">
        <f>ROUND(I29*QF_SYS_EXCHANGE1*Discount!F54*POUTSOURINGHW1,2)</f>
        <v>755.32</v>
      </c>
      <c r="O29" s="46">
        <f>N29*H29</f>
        <v>755.32</v>
      </c>
      <c r="P29" s="105" t="s">
        <v>29</v>
      </c>
      <c r="Q29" s="106"/>
    </row>
    <row r="30" spans="1:17" outlineLevel="1" x14ac:dyDescent="0.2">
      <c r="A30" t="s">
        <v>486</v>
      </c>
      <c r="C30" s="68" t="s">
        <v>487</v>
      </c>
      <c r="D30" s="129" t="s">
        <v>86</v>
      </c>
      <c r="E30" s="129"/>
      <c r="F30" s="130"/>
      <c r="G30" s="71"/>
      <c r="H30" s="89"/>
      <c r="I30" s="74"/>
      <c r="J30" s="74">
        <f>SUBTOTAL(9,J31:J31)</f>
        <v>228.357</v>
      </c>
      <c r="K30" s="95"/>
      <c r="L30" s="95"/>
      <c r="M30" s="99"/>
      <c r="N30" s="74"/>
      <c r="O30" s="74">
        <f>SUBTOTAL(9,O31:O31)</f>
        <v>95.91</v>
      </c>
      <c r="P30" s="103"/>
      <c r="Q30" s="106"/>
    </row>
    <row r="31" spans="1:17" ht="36" outlineLevel="2" x14ac:dyDescent="0.2">
      <c r="A31" t="s">
        <v>488</v>
      </c>
      <c r="C31" s="50"/>
      <c r="D31" s="107" t="s">
        <v>87</v>
      </c>
      <c r="E31" s="108" t="s">
        <v>170</v>
      </c>
      <c r="F31" s="108" t="s">
        <v>181</v>
      </c>
      <c r="G31" s="109">
        <v>1</v>
      </c>
      <c r="H31" s="110">
        <f>G31*H11</f>
        <v>1</v>
      </c>
      <c r="I31" s="54">
        <v>228.357</v>
      </c>
      <c r="J31" s="54">
        <f>I31*H31</f>
        <v>228.357</v>
      </c>
      <c r="K31" s="111">
        <f>ROUND(Discount!F55,10)</f>
        <v>0.42</v>
      </c>
      <c r="L31" s="111">
        <f>1-ROUND(Discount!F55,10)</f>
        <v>0.58000000000000007</v>
      </c>
      <c r="M31" s="55">
        <f>PHUAWEISERVICE1</f>
        <v>1</v>
      </c>
      <c r="N31" s="54">
        <f>ROUND(I31*QF_SYS_EXCHANGE1*Discount!F55*PHUAWEISERVICE1,2)</f>
        <v>95.91</v>
      </c>
      <c r="O31" s="54">
        <f>N31*H31</f>
        <v>95.91</v>
      </c>
      <c r="P31" s="112" t="s">
        <v>40</v>
      </c>
      <c r="Q31" s="106"/>
    </row>
  </sheetData>
  <mergeCells count="11">
    <mergeCell ref="D10:F10"/>
    <mergeCell ref="D11:F11"/>
    <mergeCell ref="D12:F12"/>
    <mergeCell ref="D17:F17"/>
    <mergeCell ref="D19:F19"/>
    <mergeCell ref="D30:F30"/>
    <mergeCell ref="D21:F21"/>
    <mergeCell ref="D23:F23"/>
    <mergeCell ref="D25:F25"/>
    <mergeCell ref="D27:F27"/>
    <mergeCell ref="D28:F28"/>
  </mergeCells>
  <pageMargins left="0.51181102362204722" right="0.51181102362204722" top="0.51181102362204722" bottom="0.47244094488188981" header="7.874015748031496E-2" footer="0.1968503937007874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1"/>
  <sheetViews>
    <sheetView tabSelected="1" topLeftCell="B14" workbookViewId="0">
      <selection activeCell="F29" sqref="F29"/>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489</v>
      </c>
      <c r="C10" s="38"/>
      <c r="D10" s="131" t="s">
        <v>68</v>
      </c>
      <c r="E10" s="131"/>
      <c r="F10" s="132"/>
      <c r="G10" s="85"/>
      <c r="H10" s="87"/>
      <c r="I10" s="45"/>
      <c r="J10" s="45"/>
      <c r="K10" s="93"/>
      <c r="L10" s="93"/>
      <c r="M10" s="47"/>
      <c r="N10" s="45"/>
      <c r="O10" s="45"/>
      <c r="P10" s="101"/>
      <c r="Q10" s="106"/>
    </row>
    <row r="11" spans="1:17" x14ac:dyDescent="0.2">
      <c r="A11" t="s">
        <v>490</v>
      </c>
      <c r="C11" s="69" t="s">
        <v>298</v>
      </c>
      <c r="D11" s="133" t="s">
        <v>39</v>
      </c>
      <c r="E11" s="133"/>
      <c r="F11" s="134"/>
      <c r="G11" s="73"/>
      <c r="H11" s="88">
        <v>1</v>
      </c>
      <c r="I11" s="75">
        <f>IF(OR(H11="",J11=""),"",J11/IF(H11=0,1,H11))</f>
        <v>5606.357</v>
      </c>
      <c r="J11" s="75">
        <f>J12+J17+J19+J21+J23+J25+J27+J30</f>
        <v>5606.357</v>
      </c>
      <c r="K11" s="94"/>
      <c r="L11" s="94"/>
      <c r="M11" s="98"/>
      <c r="N11" s="75">
        <f>IF(OR(H11="",O11=""),"",O11/IF(H11=0,1,H11))</f>
        <v>3322.6500000000005</v>
      </c>
      <c r="O11" s="75">
        <f>O12+O17+O19+O21+O23+O25+O27+O30</f>
        <v>3322.6500000000005</v>
      </c>
      <c r="P11" s="102"/>
      <c r="Q11" s="106"/>
    </row>
    <row r="12" spans="1:17" outlineLevel="1" x14ac:dyDescent="0.2">
      <c r="A12" t="s">
        <v>491</v>
      </c>
      <c r="C12" s="68" t="s">
        <v>492</v>
      </c>
      <c r="D12" s="129" t="s">
        <v>142</v>
      </c>
      <c r="E12" s="129"/>
      <c r="F12" s="130"/>
      <c r="G12" s="71"/>
      <c r="H12" s="89"/>
      <c r="I12" s="74"/>
      <c r="J12" s="74">
        <f>SUBTOTAL(9,J13:J16)</f>
        <v>1935</v>
      </c>
      <c r="K12" s="95"/>
      <c r="L12" s="95"/>
      <c r="M12" s="99"/>
      <c r="N12" s="74"/>
      <c r="O12" s="74">
        <f>SUBTOTAL(9,O13:O16)</f>
        <v>1044.9000000000001</v>
      </c>
      <c r="P12" s="103"/>
      <c r="Q12" s="106"/>
    </row>
    <row r="13" spans="1:17" ht="36" outlineLevel="2" x14ac:dyDescent="0.2">
      <c r="A13" t="s">
        <v>493</v>
      </c>
      <c r="C13" s="39"/>
      <c r="D13" s="84" t="s">
        <v>143</v>
      </c>
      <c r="E13" s="58" t="s">
        <v>160</v>
      </c>
      <c r="F13" s="58" t="s">
        <v>171</v>
      </c>
      <c r="G13" s="72">
        <v>1</v>
      </c>
      <c r="H13" s="91">
        <f>G13*H11</f>
        <v>1</v>
      </c>
      <c r="I13" s="46">
        <v>1199</v>
      </c>
      <c r="J13" s="46">
        <f>I13*H13</f>
        <v>1199</v>
      </c>
      <c r="K13" s="97">
        <f>ROUND(Discount!F53,10)</f>
        <v>0.54</v>
      </c>
      <c r="L13" s="97">
        <f>1-ROUND(Discount!F53,10)</f>
        <v>0.45999999999999996</v>
      </c>
      <c r="M13" s="48">
        <f>PHUAWEIHW1</f>
        <v>1</v>
      </c>
      <c r="N13" s="46">
        <f>ROUND(I13*QF_SYS_EXCHANGE1*Discount!F53*PHUAWEIHW1,2)</f>
        <v>647.46</v>
      </c>
      <c r="O13" s="46">
        <f>N13*H13</f>
        <v>647.46</v>
      </c>
      <c r="P13" s="105" t="s">
        <v>28</v>
      </c>
      <c r="Q13" s="106"/>
    </row>
    <row r="14" spans="1:17" ht="24" outlineLevel="2" x14ac:dyDescent="0.2">
      <c r="A14" t="s">
        <v>494</v>
      </c>
      <c r="C14" s="39"/>
      <c r="D14" s="84" t="s">
        <v>144</v>
      </c>
      <c r="E14" s="58" t="s">
        <v>161</v>
      </c>
      <c r="F14" s="58" t="s">
        <v>172</v>
      </c>
      <c r="G14" s="72">
        <v>1</v>
      </c>
      <c r="H14" s="91">
        <f>G14*H11</f>
        <v>1</v>
      </c>
      <c r="I14" s="46">
        <v>179</v>
      </c>
      <c r="J14" s="46">
        <f>I14*H14</f>
        <v>179</v>
      </c>
      <c r="K14" s="97">
        <f>ROUND(Discount!F53,10)</f>
        <v>0.54</v>
      </c>
      <c r="L14" s="97">
        <f>1-ROUND(Discount!F53,10)</f>
        <v>0.45999999999999996</v>
      </c>
      <c r="M14" s="48">
        <f>PHUAWEIHW1</f>
        <v>1</v>
      </c>
      <c r="N14" s="46">
        <f>ROUND(I14*QF_SYS_EXCHANGE1*Discount!F53*PHUAWEIHW1,2)</f>
        <v>96.66</v>
      </c>
      <c r="O14" s="46">
        <f>N14*H14</f>
        <v>96.66</v>
      </c>
      <c r="P14" s="105" t="s">
        <v>28</v>
      </c>
      <c r="Q14" s="106"/>
    </row>
    <row r="15" spans="1:17" ht="24" outlineLevel="2" x14ac:dyDescent="0.2">
      <c r="A15" t="s">
        <v>495</v>
      </c>
      <c r="C15" s="39"/>
      <c r="D15" s="84" t="s">
        <v>145</v>
      </c>
      <c r="E15" s="58" t="s">
        <v>162</v>
      </c>
      <c r="F15" s="58" t="s">
        <v>173</v>
      </c>
      <c r="G15" s="72">
        <v>1</v>
      </c>
      <c r="H15" s="91">
        <f>G15*H11</f>
        <v>1</v>
      </c>
      <c r="I15" s="46">
        <v>59</v>
      </c>
      <c r="J15" s="46">
        <f>I15*H15</f>
        <v>59</v>
      </c>
      <c r="K15" s="97">
        <f>ROUND(Discount!F53,10)</f>
        <v>0.54</v>
      </c>
      <c r="L15" s="97">
        <f>1-ROUND(Discount!F53,10)</f>
        <v>0.45999999999999996</v>
      </c>
      <c r="M15" s="48">
        <f>PHUAWEIHW1</f>
        <v>1</v>
      </c>
      <c r="N15" s="46">
        <f>ROUND(I15*QF_SYS_EXCHANGE1*Discount!F53*PHUAWEIHW1,2)</f>
        <v>31.86</v>
      </c>
      <c r="O15" s="46">
        <f>N15*H15</f>
        <v>31.86</v>
      </c>
      <c r="P15" s="105" t="s">
        <v>28</v>
      </c>
      <c r="Q15" s="106"/>
    </row>
    <row r="16" spans="1:17" outlineLevel="2" x14ac:dyDescent="0.2">
      <c r="A16" t="s">
        <v>496</v>
      </c>
      <c r="C16" s="39"/>
      <c r="D16" s="84" t="s">
        <v>146</v>
      </c>
      <c r="E16" s="58" t="s">
        <v>163</v>
      </c>
      <c r="F16" s="58" t="s">
        <v>174</v>
      </c>
      <c r="G16" s="72">
        <v>2</v>
      </c>
      <c r="H16" s="91">
        <f>G16*H11</f>
        <v>2</v>
      </c>
      <c r="I16" s="46">
        <v>249</v>
      </c>
      <c r="J16" s="46">
        <f>I16*H16</f>
        <v>498</v>
      </c>
      <c r="K16" s="97">
        <f>ROUND(Discount!F53,10)</f>
        <v>0.54</v>
      </c>
      <c r="L16" s="97">
        <f>1-ROUND(Discount!F53,10)</f>
        <v>0.45999999999999996</v>
      </c>
      <c r="M16" s="48">
        <f>PHUAWEIHW1</f>
        <v>1</v>
      </c>
      <c r="N16" s="46">
        <f>ROUND(I16*QF_SYS_EXCHANGE1*Discount!F53*PHUAWEIHW1,2)</f>
        <v>134.46</v>
      </c>
      <c r="O16" s="46">
        <f>N16*H16</f>
        <v>268.92</v>
      </c>
      <c r="P16" s="105" t="s">
        <v>28</v>
      </c>
      <c r="Q16" s="106"/>
    </row>
    <row r="17" spans="1:17" outlineLevel="1" x14ac:dyDescent="0.2">
      <c r="A17" t="s">
        <v>497</v>
      </c>
      <c r="C17" s="68" t="s">
        <v>498</v>
      </c>
      <c r="D17" s="129" t="s">
        <v>147</v>
      </c>
      <c r="E17" s="129"/>
      <c r="F17" s="130"/>
      <c r="G17" s="71"/>
      <c r="H17" s="89"/>
      <c r="I17" s="74"/>
      <c r="J17" s="74">
        <f>SUBTOTAL(9,J18:J18)</f>
        <v>759</v>
      </c>
      <c r="K17" s="95"/>
      <c r="L17" s="95"/>
      <c r="M17" s="99"/>
      <c r="N17" s="74"/>
      <c r="O17" s="74">
        <f>SUBTOTAL(9,O18:O18)</f>
        <v>409.86</v>
      </c>
      <c r="P17" s="103"/>
      <c r="Q17" s="106"/>
    </row>
    <row r="18" spans="1:17" ht="36" outlineLevel="2" x14ac:dyDescent="0.2">
      <c r="A18" t="s">
        <v>499</v>
      </c>
      <c r="C18" s="39"/>
      <c r="D18" s="84" t="s">
        <v>182</v>
      </c>
      <c r="E18" s="58" t="s">
        <v>186</v>
      </c>
      <c r="F18" s="58" t="s">
        <v>189</v>
      </c>
      <c r="G18" s="72">
        <v>1</v>
      </c>
      <c r="H18" s="91">
        <f>G18*H11</f>
        <v>1</v>
      </c>
      <c r="I18" s="46">
        <v>759</v>
      </c>
      <c r="J18" s="46">
        <f>I18*H18</f>
        <v>759</v>
      </c>
      <c r="K18" s="97">
        <f>ROUND(Discount!F53,10)</f>
        <v>0.54</v>
      </c>
      <c r="L18" s="97">
        <f>1-ROUND(Discount!F53,10)</f>
        <v>0.45999999999999996</v>
      </c>
      <c r="M18" s="48">
        <f>PHUAWEIHW1</f>
        <v>1</v>
      </c>
      <c r="N18" s="46">
        <f>ROUND(I18*QF_SYS_EXCHANGE1*Discount!F53*PHUAWEIHW1,2)</f>
        <v>409.86</v>
      </c>
      <c r="O18" s="46">
        <f>N18*H18</f>
        <v>409.86</v>
      </c>
      <c r="P18" s="105" t="s">
        <v>28</v>
      </c>
      <c r="Q18" s="106"/>
    </row>
    <row r="19" spans="1:17" outlineLevel="1" x14ac:dyDescent="0.2">
      <c r="A19" t="s">
        <v>500</v>
      </c>
      <c r="C19" s="68" t="s">
        <v>501</v>
      </c>
      <c r="D19" s="129" t="s">
        <v>149</v>
      </c>
      <c r="E19" s="129"/>
      <c r="F19" s="130"/>
      <c r="G19" s="71"/>
      <c r="H19" s="89"/>
      <c r="I19" s="74"/>
      <c r="J19" s="74">
        <f>SUBTOTAL(9,J20:J20)</f>
        <v>518</v>
      </c>
      <c r="K19" s="95"/>
      <c r="L19" s="95"/>
      <c r="M19" s="99"/>
      <c r="N19" s="74"/>
      <c r="O19" s="74">
        <f>SUBTOTAL(9,O20:O20)</f>
        <v>279.72000000000003</v>
      </c>
      <c r="P19" s="103"/>
      <c r="Q19" s="106"/>
    </row>
    <row r="20" spans="1:17" ht="36" outlineLevel="2" x14ac:dyDescent="0.2">
      <c r="A20" t="s">
        <v>502</v>
      </c>
      <c r="C20" s="39"/>
      <c r="D20" s="84" t="s">
        <v>150</v>
      </c>
      <c r="E20" s="58" t="s">
        <v>165</v>
      </c>
      <c r="F20" s="58" t="s">
        <v>176</v>
      </c>
      <c r="G20" s="72">
        <v>2</v>
      </c>
      <c r="H20" s="91">
        <f>G20*H11</f>
        <v>2</v>
      </c>
      <c r="I20" s="46">
        <v>259</v>
      </c>
      <c r="J20" s="46">
        <f>I20*H20</f>
        <v>518</v>
      </c>
      <c r="K20" s="97">
        <f>ROUND(Discount!F53,10)</f>
        <v>0.54</v>
      </c>
      <c r="L20" s="97">
        <f>1-ROUND(Discount!F53,10)</f>
        <v>0.45999999999999996</v>
      </c>
      <c r="M20" s="48">
        <f>PHUAWEIHW1</f>
        <v>1</v>
      </c>
      <c r="N20" s="46">
        <f>ROUND(I20*QF_SYS_EXCHANGE1*Discount!F53*PHUAWEIHW1,2)</f>
        <v>139.86000000000001</v>
      </c>
      <c r="O20" s="46">
        <f>N20*H20</f>
        <v>279.72000000000003</v>
      </c>
      <c r="P20" s="105" t="s">
        <v>28</v>
      </c>
      <c r="Q20" s="106"/>
    </row>
    <row r="21" spans="1:17" outlineLevel="1" x14ac:dyDescent="0.2">
      <c r="A21" t="s">
        <v>503</v>
      </c>
      <c r="C21" s="68" t="s">
        <v>504</v>
      </c>
      <c r="D21" s="129" t="s">
        <v>151</v>
      </c>
      <c r="E21" s="129"/>
      <c r="F21" s="130"/>
      <c r="G21" s="71"/>
      <c r="H21" s="89"/>
      <c r="I21" s="74"/>
      <c r="J21" s="74">
        <f>SUBTOTAL(9,J22:J22)</f>
        <v>1118</v>
      </c>
      <c r="K21" s="95"/>
      <c r="L21" s="95"/>
      <c r="M21" s="99"/>
      <c r="N21" s="74"/>
      <c r="O21" s="74">
        <f>SUBTOTAL(9,O22:O22)</f>
        <v>603.72</v>
      </c>
      <c r="P21" s="103"/>
      <c r="Q21" s="106"/>
    </row>
    <row r="22" spans="1:17" ht="24" outlineLevel="2" x14ac:dyDescent="0.2">
      <c r="A22" t="s">
        <v>505</v>
      </c>
      <c r="C22" s="39"/>
      <c r="D22" s="84" t="s">
        <v>192</v>
      </c>
      <c r="E22" s="58" t="s">
        <v>193</v>
      </c>
      <c r="F22" s="58" t="s">
        <v>194</v>
      </c>
      <c r="G22" s="72">
        <v>2</v>
      </c>
      <c r="H22" s="91">
        <f>G22*H11</f>
        <v>2</v>
      </c>
      <c r="I22" s="46">
        <v>559</v>
      </c>
      <c r="J22" s="46">
        <f>I22*H22</f>
        <v>1118</v>
      </c>
      <c r="K22" s="97">
        <f>ROUND(Discount!F53,10)</f>
        <v>0.54</v>
      </c>
      <c r="L22" s="97">
        <f>1-ROUND(Discount!F53,10)</f>
        <v>0.45999999999999996</v>
      </c>
      <c r="M22" s="48">
        <f>PHUAWEIHW1</f>
        <v>1</v>
      </c>
      <c r="N22" s="46">
        <f>ROUND(I22*QF_SYS_EXCHANGE1*Discount!F53*PHUAWEIHW1,2)</f>
        <v>301.86</v>
      </c>
      <c r="O22" s="46">
        <f>N22*H22</f>
        <v>603.72</v>
      </c>
      <c r="P22" s="105" t="s">
        <v>28</v>
      </c>
      <c r="Q22" s="106"/>
    </row>
    <row r="23" spans="1:17" outlineLevel="1" x14ac:dyDescent="0.2">
      <c r="A23" t="s">
        <v>506</v>
      </c>
      <c r="C23" s="68" t="s">
        <v>507</v>
      </c>
      <c r="D23" s="129" t="s">
        <v>153</v>
      </c>
      <c r="E23" s="129"/>
      <c r="F23" s="130"/>
      <c r="G23" s="71"/>
      <c r="H23" s="89"/>
      <c r="I23" s="74"/>
      <c r="J23" s="74">
        <f>SUBTOTAL(9,J24:J24)</f>
        <v>199</v>
      </c>
      <c r="K23" s="95"/>
      <c r="L23" s="95"/>
      <c r="M23" s="99"/>
      <c r="N23" s="74"/>
      <c r="O23" s="74">
        <f>SUBTOTAL(9,O24:O24)</f>
        <v>107.46</v>
      </c>
      <c r="P23" s="103"/>
      <c r="Q23" s="106"/>
    </row>
    <row r="24" spans="1:17" ht="48" outlineLevel="2" x14ac:dyDescent="0.2">
      <c r="A24" t="s">
        <v>508</v>
      </c>
      <c r="C24" s="39"/>
      <c r="D24" s="84" t="s">
        <v>154</v>
      </c>
      <c r="E24" s="58" t="s">
        <v>167</v>
      </c>
      <c r="F24" s="58" t="s">
        <v>178</v>
      </c>
      <c r="G24" s="72">
        <v>1</v>
      </c>
      <c r="H24" s="91">
        <f>G24*H11</f>
        <v>1</v>
      </c>
      <c r="I24" s="46">
        <v>199</v>
      </c>
      <c r="J24" s="46">
        <f>I24*H24</f>
        <v>199</v>
      </c>
      <c r="K24" s="97">
        <f>ROUND(Discount!F53,10)</f>
        <v>0.54</v>
      </c>
      <c r="L24" s="97">
        <f>1-ROUND(Discount!F53,10)</f>
        <v>0.45999999999999996</v>
      </c>
      <c r="M24" s="48">
        <f>PHUAWEIHW1</f>
        <v>1</v>
      </c>
      <c r="N24" s="46">
        <f>ROUND(I24*QF_SYS_EXCHANGE1*Discount!F53*PHUAWEIHW1,2)</f>
        <v>107.46</v>
      </c>
      <c r="O24" s="46">
        <f>N24*H24</f>
        <v>107.46</v>
      </c>
      <c r="P24" s="105" t="s">
        <v>28</v>
      </c>
      <c r="Q24" s="106"/>
    </row>
    <row r="25" spans="1:17" outlineLevel="1" x14ac:dyDescent="0.2">
      <c r="A25" t="s">
        <v>509</v>
      </c>
      <c r="C25" s="68" t="s">
        <v>510</v>
      </c>
      <c r="D25" s="129" t="s">
        <v>155</v>
      </c>
      <c r="E25" s="129"/>
      <c r="F25" s="130"/>
      <c r="G25" s="71"/>
      <c r="H25" s="89"/>
      <c r="I25" s="74"/>
      <c r="J25" s="74">
        <f>SUBTOTAL(9,J26:J26)</f>
        <v>28</v>
      </c>
      <c r="K25" s="95"/>
      <c r="L25" s="95"/>
      <c r="M25" s="99"/>
      <c r="N25" s="74"/>
      <c r="O25" s="74">
        <f>SUBTOTAL(9,O26:O26)</f>
        <v>25.76</v>
      </c>
      <c r="P25" s="103"/>
      <c r="Q25" s="106"/>
    </row>
    <row r="26" spans="1:17" outlineLevel="2" x14ac:dyDescent="0.2">
      <c r="A26" t="s">
        <v>511</v>
      </c>
      <c r="C26" s="39"/>
      <c r="D26" s="84" t="s">
        <v>156</v>
      </c>
      <c r="E26" s="58" t="s">
        <v>168</v>
      </c>
      <c r="F26" s="58" t="s">
        <v>179</v>
      </c>
      <c r="G26" s="72">
        <v>1</v>
      </c>
      <c r="H26" s="91">
        <f>G26*H11</f>
        <v>1</v>
      </c>
      <c r="I26" s="46">
        <v>28</v>
      </c>
      <c r="J26" s="46">
        <f>I26*H26</f>
        <v>28</v>
      </c>
      <c r="K26" s="97">
        <f>ROUND(Discount!F54,10)</f>
        <v>0.92</v>
      </c>
      <c r="L26" s="97">
        <f>1-ROUND(Discount!F54,10)</f>
        <v>7.999999999999996E-2</v>
      </c>
      <c r="M26" s="48">
        <f>POUTSOURINGHW1</f>
        <v>1</v>
      </c>
      <c r="N26" s="46">
        <f>ROUND(I26*QF_SYS_EXCHANGE1*Discount!F54*POUTSOURINGHW1,2)</f>
        <v>25.76</v>
      </c>
      <c r="O26" s="46">
        <f>N26*H26</f>
        <v>25.76</v>
      </c>
      <c r="P26" s="105" t="s">
        <v>29</v>
      </c>
      <c r="Q26" s="106"/>
    </row>
    <row r="27" spans="1:17" outlineLevel="1" x14ac:dyDescent="0.2">
      <c r="A27" t="s">
        <v>512</v>
      </c>
      <c r="C27" s="68" t="s">
        <v>513</v>
      </c>
      <c r="D27" s="129" t="s">
        <v>157</v>
      </c>
      <c r="E27" s="129"/>
      <c r="F27" s="130"/>
      <c r="G27" s="71"/>
      <c r="H27" s="89"/>
      <c r="I27" s="74"/>
      <c r="J27" s="74">
        <f>SUBTOTAL(9,J29:J29)</f>
        <v>821</v>
      </c>
      <c r="K27" s="95"/>
      <c r="L27" s="95"/>
      <c r="M27" s="99"/>
      <c r="N27" s="74"/>
      <c r="O27" s="74">
        <f>SUBTOTAL(9,O29:O29)</f>
        <v>755.32</v>
      </c>
      <c r="P27" s="103"/>
      <c r="Q27" s="106"/>
    </row>
    <row r="28" spans="1:17" outlineLevel="2" x14ac:dyDescent="0.2">
      <c r="A28" t="s">
        <v>514</v>
      </c>
      <c r="C28" s="82" t="s">
        <v>515</v>
      </c>
      <c r="D28" s="135" t="s">
        <v>184</v>
      </c>
      <c r="E28" s="135"/>
      <c r="F28" s="136"/>
      <c r="G28" s="86"/>
      <c r="H28" s="90"/>
      <c r="I28" s="92"/>
      <c r="J28" s="92">
        <f>SUBTOTAL(9,J29:J29)</f>
        <v>821</v>
      </c>
      <c r="K28" s="96"/>
      <c r="L28" s="96"/>
      <c r="M28" s="100"/>
      <c r="N28" s="92"/>
      <c r="O28" s="92">
        <f>SUBTOTAL(9,O29:O29)</f>
        <v>755.32</v>
      </c>
      <c r="P28" s="104"/>
      <c r="Q28" s="106"/>
    </row>
    <row r="29" spans="1:17" ht="60" outlineLevel="3" x14ac:dyDescent="0.2">
      <c r="A29" t="s">
        <v>516</v>
      </c>
      <c r="C29" s="39"/>
      <c r="D29" s="84" t="s">
        <v>185</v>
      </c>
      <c r="E29" s="58" t="s">
        <v>188</v>
      </c>
      <c r="F29" s="58" t="s">
        <v>191</v>
      </c>
      <c r="G29" s="72">
        <v>1</v>
      </c>
      <c r="H29" s="91">
        <f>G29*H11</f>
        <v>1</v>
      </c>
      <c r="I29" s="46">
        <v>821</v>
      </c>
      <c r="J29" s="46">
        <f>I29*H29</f>
        <v>821</v>
      </c>
      <c r="K29" s="97">
        <f>ROUND(Discount!F54,10)</f>
        <v>0.92</v>
      </c>
      <c r="L29" s="97">
        <f>1-ROUND(Discount!F54,10)</f>
        <v>7.999999999999996E-2</v>
      </c>
      <c r="M29" s="48">
        <f>POUTSOURINGHW1</f>
        <v>1</v>
      </c>
      <c r="N29" s="46">
        <f>ROUND(I29*QF_SYS_EXCHANGE1*Discount!F54*POUTSOURINGHW1,2)</f>
        <v>755.32</v>
      </c>
      <c r="O29" s="46">
        <f>N29*H29</f>
        <v>755.32</v>
      </c>
      <c r="P29" s="105" t="s">
        <v>29</v>
      </c>
      <c r="Q29" s="106"/>
    </row>
    <row r="30" spans="1:17" outlineLevel="1" x14ac:dyDescent="0.2">
      <c r="A30" t="s">
        <v>517</v>
      </c>
      <c r="C30" s="68" t="s">
        <v>518</v>
      </c>
      <c r="D30" s="129" t="s">
        <v>86</v>
      </c>
      <c r="E30" s="129"/>
      <c r="F30" s="130"/>
      <c r="G30" s="71"/>
      <c r="H30" s="89"/>
      <c r="I30" s="74"/>
      <c r="J30" s="74">
        <f>SUBTOTAL(9,J31:J31)</f>
        <v>228.357</v>
      </c>
      <c r="K30" s="95"/>
      <c r="L30" s="95"/>
      <c r="M30" s="99"/>
      <c r="N30" s="74"/>
      <c r="O30" s="74">
        <f>SUBTOTAL(9,O31:O31)</f>
        <v>95.91</v>
      </c>
      <c r="P30" s="103"/>
      <c r="Q30" s="106"/>
    </row>
    <row r="31" spans="1:17" ht="36" outlineLevel="2" x14ac:dyDescent="0.2">
      <c r="A31" t="s">
        <v>519</v>
      </c>
      <c r="C31" s="50"/>
      <c r="D31" s="107" t="s">
        <v>87</v>
      </c>
      <c r="E31" s="108" t="s">
        <v>170</v>
      </c>
      <c r="F31" s="108" t="s">
        <v>181</v>
      </c>
      <c r="G31" s="109">
        <v>1</v>
      </c>
      <c r="H31" s="110">
        <f>G31*H11</f>
        <v>1</v>
      </c>
      <c r="I31" s="54">
        <v>228.357</v>
      </c>
      <c r="J31" s="54">
        <f>I31*H31</f>
        <v>228.357</v>
      </c>
      <c r="K31" s="111">
        <f>ROUND(Discount!F55,10)</f>
        <v>0.42</v>
      </c>
      <c r="L31" s="111">
        <f>1-ROUND(Discount!F55,10)</f>
        <v>0.58000000000000007</v>
      </c>
      <c r="M31" s="55">
        <f>PHUAWEISERVICE1</f>
        <v>1</v>
      </c>
      <c r="N31" s="54">
        <f>ROUND(I31*QF_SYS_EXCHANGE1*Discount!F55*PHUAWEISERVICE1,2)</f>
        <v>95.91</v>
      </c>
      <c r="O31" s="54">
        <f>N31*H31</f>
        <v>95.91</v>
      </c>
      <c r="P31" s="112" t="s">
        <v>40</v>
      </c>
      <c r="Q31" s="106"/>
    </row>
  </sheetData>
  <mergeCells count="11">
    <mergeCell ref="D10:F10"/>
    <mergeCell ref="D11:F11"/>
    <mergeCell ref="D12:F12"/>
    <mergeCell ref="D17:F17"/>
    <mergeCell ref="D19:F19"/>
    <mergeCell ref="D30:F30"/>
    <mergeCell ref="D21:F21"/>
    <mergeCell ref="D23:F23"/>
    <mergeCell ref="D25:F25"/>
    <mergeCell ref="D27:F27"/>
    <mergeCell ref="D28:F28"/>
  </mergeCells>
  <pageMargins left="0.51181102362204722" right="0.51181102362204722" top="0.51181102362204722" bottom="0.47244094488188981" header="7.874015748031496E-2" footer="0.1968503937007874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31"/>
  <sheetViews>
    <sheetView topLeftCell="B2" workbookViewId="0"/>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520</v>
      </c>
      <c r="C10" s="38"/>
      <c r="D10" s="131" t="s">
        <v>39</v>
      </c>
      <c r="E10" s="131"/>
      <c r="F10" s="132"/>
      <c r="G10" s="85"/>
      <c r="H10" s="87"/>
      <c r="I10" s="45"/>
      <c r="J10" s="45"/>
      <c r="K10" s="93"/>
      <c r="L10" s="93"/>
      <c r="M10" s="47"/>
      <c r="N10" s="45"/>
      <c r="O10" s="45"/>
      <c r="P10" s="101"/>
      <c r="Q10" s="106"/>
    </row>
    <row r="11" spans="1:17" x14ac:dyDescent="0.2">
      <c r="A11" t="s">
        <v>521</v>
      </c>
      <c r="C11" s="69" t="s">
        <v>301</v>
      </c>
      <c r="D11" s="133" t="s">
        <v>39</v>
      </c>
      <c r="E11" s="133"/>
      <c r="F11" s="134"/>
      <c r="G11" s="73"/>
      <c r="H11" s="88">
        <v>1</v>
      </c>
      <c r="I11" s="75">
        <f>IF(OR(H11="",J11=""),"",J11/IF(H11=0,1,H11))</f>
        <v>5407.357</v>
      </c>
      <c r="J11" s="75">
        <f>J12+J17+J19+J21+J23+J25+J27+J30</f>
        <v>5407.357</v>
      </c>
      <c r="K11" s="94"/>
      <c r="L11" s="94"/>
      <c r="M11" s="98"/>
      <c r="N11" s="75">
        <f>IF(OR(H11="",O11=""),"",O11/IF(H11=0,1,H11))</f>
        <v>3215.19</v>
      </c>
      <c r="O11" s="75">
        <f>O12+O17+O19+O21+O23+O25+O27+O30</f>
        <v>3215.19</v>
      </c>
      <c r="P11" s="102"/>
      <c r="Q11" s="106"/>
    </row>
    <row r="12" spans="1:17" outlineLevel="1" x14ac:dyDescent="0.2">
      <c r="A12" t="s">
        <v>522</v>
      </c>
      <c r="C12" s="68" t="s">
        <v>523</v>
      </c>
      <c r="D12" s="129" t="s">
        <v>142</v>
      </c>
      <c r="E12" s="129"/>
      <c r="F12" s="130"/>
      <c r="G12" s="71"/>
      <c r="H12" s="89"/>
      <c r="I12" s="74"/>
      <c r="J12" s="74">
        <f>SUBTOTAL(9,J13:J16)</f>
        <v>1935</v>
      </c>
      <c r="K12" s="95"/>
      <c r="L12" s="95"/>
      <c r="M12" s="99"/>
      <c r="N12" s="74"/>
      <c r="O12" s="74">
        <f>SUBTOTAL(9,O13:O16)</f>
        <v>1044.9000000000001</v>
      </c>
      <c r="P12" s="103"/>
      <c r="Q12" s="106"/>
    </row>
    <row r="13" spans="1:17" ht="36" outlineLevel="2" x14ac:dyDescent="0.2">
      <c r="A13" t="s">
        <v>524</v>
      </c>
      <c r="C13" s="39"/>
      <c r="D13" s="84" t="s">
        <v>143</v>
      </c>
      <c r="E13" s="58" t="s">
        <v>160</v>
      </c>
      <c r="F13" s="58" t="s">
        <v>171</v>
      </c>
      <c r="G13" s="72">
        <v>1</v>
      </c>
      <c r="H13" s="91">
        <f>G13*H11</f>
        <v>1</v>
      </c>
      <c r="I13" s="46">
        <v>1199</v>
      </c>
      <c r="J13" s="46">
        <f>I13*H13</f>
        <v>1199</v>
      </c>
      <c r="K13" s="97">
        <f>ROUND(Discount!F53,10)</f>
        <v>0.54</v>
      </c>
      <c r="L13" s="97">
        <f>1-ROUND(Discount!F53,10)</f>
        <v>0.45999999999999996</v>
      </c>
      <c r="M13" s="48">
        <f>PHUAWEIHW1</f>
        <v>1</v>
      </c>
      <c r="N13" s="46">
        <f>ROUND(I13*QF_SYS_EXCHANGE1*Discount!F53*PHUAWEIHW1,2)</f>
        <v>647.46</v>
      </c>
      <c r="O13" s="46">
        <f>N13*H13</f>
        <v>647.46</v>
      </c>
      <c r="P13" s="105" t="s">
        <v>28</v>
      </c>
      <c r="Q13" s="106"/>
    </row>
    <row r="14" spans="1:17" ht="24" outlineLevel="2" x14ac:dyDescent="0.2">
      <c r="A14" t="s">
        <v>525</v>
      </c>
      <c r="C14" s="39"/>
      <c r="D14" s="84" t="s">
        <v>144</v>
      </c>
      <c r="E14" s="58" t="s">
        <v>161</v>
      </c>
      <c r="F14" s="58" t="s">
        <v>172</v>
      </c>
      <c r="G14" s="72">
        <v>1</v>
      </c>
      <c r="H14" s="91">
        <f>G14*H11</f>
        <v>1</v>
      </c>
      <c r="I14" s="46">
        <v>179</v>
      </c>
      <c r="J14" s="46">
        <f>I14*H14</f>
        <v>179</v>
      </c>
      <c r="K14" s="97">
        <f>ROUND(Discount!F53,10)</f>
        <v>0.54</v>
      </c>
      <c r="L14" s="97">
        <f>1-ROUND(Discount!F53,10)</f>
        <v>0.45999999999999996</v>
      </c>
      <c r="M14" s="48">
        <f>PHUAWEIHW1</f>
        <v>1</v>
      </c>
      <c r="N14" s="46">
        <f>ROUND(I14*QF_SYS_EXCHANGE1*Discount!F53*PHUAWEIHW1,2)</f>
        <v>96.66</v>
      </c>
      <c r="O14" s="46">
        <f>N14*H14</f>
        <v>96.66</v>
      </c>
      <c r="P14" s="105" t="s">
        <v>28</v>
      </c>
      <c r="Q14" s="106"/>
    </row>
    <row r="15" spans="1:17" ht="24" outlineLevel="2" x14ac:dyDescent="0.2">
      <c r="A15" t="s">
        <v>526</v>
      </c>
      <c r="C15" s="39"/>
      <c r="D15" s="84" t="s">
        <v>145</v>
      </c>
      <c r="E15" s="58" t="s">
        <v>162</v>
      </c>
      <c r="F15" s="58" t="s">
        <v>173</v>
      </c>
      <c r="G15" s="72">
        <v>1</v>
      </c>
      <c r="H15" s="91">
        <f>G15*H11</f>
        <v>1</v>
      </c>
      <c r="I15" s="46">
        <v>59</v>
      </c>
      <c r="J15" s="46">
        <f>I15*H15</f>
        <v>59</v>
      </c>
      <c r="K15" s="97">
        <f>ROUND(Discount!F53,10)</f>
        <v>0.54</v>
      </c>
      <c r="L15" s="97">
        <f>1-ROUND(Discount!F53,10)</f>
        <v>0.45999999999999996</v>
      </c>
      <c r="M15" s="48">
        <f>PHUAWEIHW1</f>
        <v>1</v>
      </c>
      <c r="N15" s="46">
        <f>ROUND(I15*QF_SYS_EXCHANGE1*Discount!F53*PHUAWEIHW1,2)</f>
        <v>31.86</v>
      </c>
      <c r="O15" s="46">
        <f>N15*H15</f>
        <v>31.86</v>
      </c>
      <c r="P15" s="105" t="s">
        <v>28</v>
      </c>
      <c r="Q15" s="106"/>
    </row>
    <row r="16" spans="1:17" outlineLevel="2" x14ac:dyDescent="0.2">
      <c r="A16" t="s">
        <v>527</v>
      </c>
      <c r="C16" s="39"/>
      <c r="D16" s="84" t="s">
        <v>146</v>
      </c>
      <c r="E16" s="58" t="s">
        <v>163</v>
      </c>
      <c r="F16" s="58" t="s">
        <v>174</v>
      </c>
      <c r="G16" s="72">
        <v>2</v>
      </c>
      <c r="H16" s="91">
        <f>G16*H11</f>
        <v>2</v>
      </c>
      <c r="I16" s="46">
        <v>249</v>
      </c>
      <c r="J16" s="46">
        <f>I16*H16</f>
        <v>498</v>
      </c>
      <c r="K16" s="97">
        <f>ROUND(Discount!F53,10)</f>
        <v>0.54</v>
      </c>
      <c r="L16" s="97">
        <f>1-ROUND(Discount!F53,10)</f>
        <v>0.45999999999999996</v>
      </c>
      <c r="M16" s="48">
        <f>PHUAWEIHW1</f>
        <v>1</v>
      </c>
      <c r="N16" s="46">
        <f>ROUND(I16*QF_SYS_EXCHANGE1*Discount!F53*PHUAWEIHW1,2)</f>
        <v>134.46</v>
      </c>
      <c r="O16" s="46">
        <f>N16*H16</f>
        <v>268.92</v>
      </c>
      <c r="P16" s="105" t="s">
        <v>28</v>
      </c>
      <c r="Q16" s="106"/>
    </row>
    <row r="17" spans="1:17" outlineLevel="1" x14ac:dyDescent="0.2">
      <c r="A17" t="s">
        <v>528</v>
      </c>
      <c r="C17" s="68" t="s">
        <v>529</v>
      </c>
      <c r="D17" s="129" t="s">
        <v>147</v>
      </c>
      <c r="E17" s="129"/>
      <c r="F17" s="130"/>
      <c r="G17" s="71"/>
      <c r="H17" s="89"/>
      <c r="I17" s="74"/>
      <c r="J17" s="74">
        <f>SUBTOTAL(9,J18:J18)</f>
        <v>819</v>
      </c>
      <c r="K17" s="95"/>
      <c r="L17" s="95"/>
      <c r="M17" s="99"/>
      <c r="N17" s="74"/>
      <c r="O17" s="74">
        <f>SUBTOTAL(9,O18:O18)</f>
        <v>442.26</v>
      </c>
      <c r="P17" s="103"/>
      <c r="Q17" s="106"/>
    </row>
    <row r="18" spans="1:17" ht="36" outlineLevel="2" x14ac:dyDescent="0.2">
      <c r="A18" t="s">
        <v>530</v>
      </c>
      <c r="C18" s="39"/>
      <c r="D18" s="84" t="s">
        <v>148</v>
      </c>
      <c r="E18" s="58" t="s">
        <v>164</v>
      </c>
      <c r="F18" s="58" t="s">
        <v>175</v>
      </c>
      <c r="G18" s="72">
        <v>1</v>
      </c>
      <c r="H18" s="91">
        <f>G18*H11</f>
        <v>1</v>
      </c>
      <c r="I18" s="46">
        <v>819</v>
      </c>
      <c r="J18" s="46">
        <f>I18*H18</f>
        <v>819</v>
      </c>
      <c r="K18" s="97">
        <f>ROUND(Discount!F53,10)</f>
        <v>0.54</v>
      </c>
      <c r="L18" s="97">
        <f>1-ROUND(Discount!F53,10)</f>
        <v>0.45999999999999996</v>
      </c>
      <c r="M18" s="48">
        <f>PHUAWEIHW1</f>
        <v>1</v>
      </c>
      <c r="N18" s="46">
        <f>ROUND(I18*QF_SYS_EXCHANGE1*Discount!F53*PHUAWEIHW1,2)</f>
        <v>442.26</v>
      </c>
      <c r="O18" s="46">
        <f>N18*H18</f>
        <v>442.26</v>
      </c>
      <c r="P18" s="105" t="s">
        <v>28</v>
      </c>
      <c r="Q18" s="106"/>
    </row>
    <row r="19" spans="1:17" outlineLevel="1" x14ac:dyDescent="0.2">
      <c r="A19" t="s">
        <v>531</v>
      </c>
      <c r="C19" s="68" t="s">
        <v>532</v>
      </c>
      <c r="D19" s="129" t="s">
        <v>149</v>
      </c>
      <c r="E19" s="129"/>
      <c r="F19" s="130"/>
      <c r="G19" s="71"/>
      <c r="H19" s="89"/>
      <c r="I19" s="74"/>
      <c r="J19" s="74">
        <f>SUBTOTAL(9,J20:J20)</f>
        <v>259</v>
      </c>
      <c r="K19" s="95"/>
      <c r="L19" s="95"/>
      <c r="M19" s="99"/>
      <c r="N19" s="74"/>
      <c r="O19" s="74">
        <f>SUBTOTAL(9,O20:O20)</f>
        <v>139.86000000000001</v>
      </c>
      <c r="P19" s="103"/>
      <c r="Q19" s="106"/>
    </row>
    <row r="20" spans="1:17" ht="36" outlineLevel="2" x14ac:dyDescent="0.2">
      <c r="A20" t="s">
        <v>533</v>
      </c>
      <c r="C20" s="39"/>
      <c r="D20" s="84" t="s">
        <v>150</v>
      </c>
      <c r="E20" s="58" t="s">
        <v>165</v>
      </c>
      <c r="F20" s="58" t="s">
        <v>176</v>
      </c>
      <c r="G20" s="72">
        <v>1</v>
      </c>
      <c r="H20" s="91">
        <f>G20*H11</f>
        <v>1</v>
      </c>
      <c r="I20" s="46">
        <v>259</v>
      </c>
      <c r="J20" s="46">
        <f>I20*H20</f>
        <v>259</v>
      </c>
      <c r="K20" s="97">
        <f>ROUND(Discount!F53,10)</f>
        <v>0.54</v>
      </c>
      <c r="L20" s="97">
        <f>1-ROUND(Discount!F53,10)</f>
        <v>0.45999999999999996</v>
      </c>
      <c r="M20" s="48">
        <f>PHUAWEIHW1</f>
        <v>1</v>
      </c>
      <c r="N20" s="46">
        <f>ROUND(I20*QF_SYS_EXCHANGE1*Discount!F53*PHUAWEIHW1,2)</f>
        <v>139.86000000000001</v>
      </c>
      <c r="O20" s="46">
        <f>N20*H20</f>
        <v>139.86000000000001</v>
      </c>
      <c r="P20" s="105" t="s">
        <v>28</v>
      </c>
      <c r="Q20" s="106"/>
    </row>
    <row r="21" spans="1:17" outlineLevel="1" x14ac:dyDescent="0.2">
      <c r="A21" t="s">
        <v>534</v>
      </c>
      <c r="C21" s="68" t="s">
        <v>535</v>
      </c>
      <c r="D21" s="129" t="s">
        <v>151</v>
      </c>
      <c r="E21" s="129"/>
      <c r="F21" s="130"/>
      <c r="G21" s="71"/>
      <c r="H21" s="89"/>
      <c r="I21" s="74"/>
      <c r="J21" s="74">
        <f>SUBTOTAL(9,J22:J22)</f>
        <v>1118</v>
      </c>
      <c r="K21" s="95"/>
      <c r="L21" s="95"/>
      <c r="M21" s="99"/>
      <c r="N21" s="74"/>
      <c r="O21" s="74">
        <f>SUBTOTAL(9,O22:O22)</f>
        <v>603.72</v>
      </c>
      <c r="P21" s="103"/>
      <c r="Q21" s="106"/>
    </row>
    <row r="22" spans="1:17" ht="24" outlineLevel="2" x14ac:dyDescent="0.2">
      <c r="A22" t="s">
        <v>536</v>
      </c>
      <c r="C22" s="39"/>
      <c r="D22" s="84" t="s">
        <v>192</v>
      </c>
      <c r="E22" s="58" t="s">
        <v>193</v>
      </c>
      <c r="F22" s="58" t="s">
        <v>194</v>
      </c>
      <c r="G22" s="72">
        <v>2</v>
      </c>
      <c r="H22" s="91">
        <f>G22*H11</f>
        <v>2</v>
      </c>
      <c r="I22" s="46">
        <v>559</v>
      </c>
      <c r="J22" s="46">
        <f>I22*H22</f>
        <v>1118</v>
      </c>
      <c r="K22" s="97">
        <f>ROUND(Discount!F53,10)</f>
        <v>0.54</v>
      </c>
      <c r="L22" s="97">
        <f>1-ROUND(Discount!F53,10)</f>
        <v>0.45999999999999996</v>
      </c>
      <c r="M22" s="48">
        <f>PHUAWEIHW1</f>
        <v>1</v>
      </c>
      <c r="N22" s="46">
        <f>ROUND(I22*QF_SYS_EXCHANGE1*Discount!F53*PHUAWEIHW1,2)</f>
        <v>301.86</v>
      </c>
      <c r="O22" s="46">
        <f>N22*H22</f>
        <v>603.72</v>
      </c>
      <c r="P22" s="105" t="s">
        <v>28</v>
      </c>
      <c r="Q22" s="106"/>
    </row>
    <row r="23" spans="1:17" outlineLevel="1" x14ac:dyDescent="0.2">
      <c r="A23" t="s">
        <v>537</v>
      </c>
      <c r="C23" s="68" t="s">
        <v>538</v>
      </c>
      <c r="D23" s="129" t="s">
        <v>153</v>
      </c>
      <c r="E23" s="129"/>
      <c r="F23" s="130"/>
      <c r="G23" s="71"/>
      <c r="H23" s="89"/>
      <c r="I23" s="74"/>
      <c r="J23" s="74">
        <f>SUBTOTAL(9,J24:J24)</f>
        <v>199</v>
      </c>
      <c r="K23" s="95"/>
      <c r="L23" s="95"/>
      <c r="M23" s="99"/>
      <c r="N23" s="74"/>
      <c r="O23" s="74">
        <f>SUBTOTAL(9,O24:O24)</f>
        <v>107.46</v>
      </c>
      <c r="P23" s="103"/>
      <c r="Q23" s="106"/>
    </row>
    <row r="24" spans="1:17" ht="48" outlineLevel="2" x14ac:dyDescent="0.2">
      <c r="A24" t="s">
        <v>539</v>
      </c>
      <c r="C24" s="39"/>
      <c r="D24" s="84" t="s">
        <v>154</v>
      </c>
      <c r="E24" s="58" t="s">
        <v>167</v>
      </c>
      <c r="F24" s="58" t="s">
        <v>178</v>
      </c>
      <c r="G24" s="72">
        <v>1</v>
      </c>
      <c r="H24" s="91">
        <f>G24*H11</f>
        <v>1</v>
      </c>
      <c r="I24" s="46">
        <v>199</v>
      </c>
      <c r="J24" s="46">
        <f>I24*H24</f>
        <v>199</v>
      </c>
      <c r="K24" s="97">
        <f>ROUND(Discount!F53,10)</f>
        <v>0.54</v>
      </c>
      <c r="L24" s="97">
        <f>1-ROUND(Discount!F53,10)</f>
        <v>0.45999999999999996</v>
      </c>
      <c r="M24" s="48">
        <f>PHUAWEIHW1</f>
        <v>1</v>
      </c>
      <c r="N24" s="46">
        <f>ROUND(I24*QF_SYS_EXCHANGE1*Discount!F53*PHUAWEIHW1,2)</f>
        <v>107.46</v>
      </c>
      <c r="O24" s="46">
        <f>N24*H24</f>
        <v>107.46</v>
      </c>
      <c r="P24" s="105" t="s">
        <v>28</v>
      </c>
      <c r="Q24" s="106"/>
    </row>
    <row r="25" spans="1:17" outlineLevel="1" x14ac:dyDescent="0.2">
      <c r="A25" t="s">
        <v>540</v>
      </c>
      <c r="C25" s="68" t="s">
        <v>541</v>
      </c>
      <c r="D25" s="129" t="s">
        <v>155</v>
      </c>
      <c r="E25" s="129"/>
      <c r="F25" s="130"/>
      <c r="G25" s="71"/>
      <c r="H25" s="89"/>
      <c r="I25" s="74"/>
      <c r="J25" s="74">
        <f>SUBTOTAL(9,J26:J26)</f>
        <v>28</v>
      </c>
      <c r="K25" s="95"/>
      <c r="L25" s="95"/>
      <c r="M25" s="99"/>
      <c r="N25" s="74"/>
      <c r="O25" s="74">
        <f>SUBTOTAL(9,O26:O26)</f>
        <v>25.76</v>
      </c>
      <c r="P25" s="103"/>
      <c r="Q25" s="106"/>
    </row>
    <row r="26" spans="1:17" outlineLevel="2" x14ac:dyDescent="0.2">
      <c r="A26" t="s">
        <v>542</v>
      </c>
      <c r="C26" s="39"/>
      <c r="D26" s="84" t="s">
        <v>156</v>
      </c>
      <c r="E26" s="58" t="s">
        <v>168</v>
      </c>
      <c r="F26" s="58" t="s">
        <v>179</v>
      </c>
      <c r="G26" s="72">
        <v>1</v>
      </c>
      <c r="H26" s="91">
        <f>G26*H11</f>
        <v>1</v>
      </c>
      <c r="I26" s="46">
        <v>28</v>
      </c>
      <c r="J26" s="46">
        <f>I26*H26</f>
        <v>28</v>
      </c>
      <c r="K26" s="97">
        <f>ROUND(Discount!F54,10)</f>
        <v>0.92</v>
      </c>
      <c r="L26" s="97">
        <f>1-ROUND(Discount!F54,10)</f>
        <v>7.999999999999996E-2</v>
      </c>
      <c r="M26" s="48">
        <f>POUTSOURINGHW1</f>
        <v>1</v>
      </c>
      <c r="N26" s="46">
        <f>ROUND(I26*QF_SYS_EXCHANGE1*Discount!F54*POUTSOURINGHW1,2)</f>
        <v>25.76</v>
      </c>
      <c r="O26" s="46">
        <f>N26*H26</f>
        <v>25.76</v>
      </c>
      <c r="P26" s="105" t="s">
        <v>29</v>
      </c>
      <c r="Q26" s="106"/>
    </row>
    <row r="27" spans="1:17" outlineLevel="1" x14ac:dyDescent="0.2">
      <c r="A27" t="s">
        <v>543</v>
      </c>
      <c r="C27" s="68" t="s">
        <v>544</v>
      </c>
      <c r="D27" s="129" t="s">
        <v>157</v>
      </c>
      <c r="E27" s="129"/>
      <c r="F27" s="130"/>
      <c r="G27" s="71"/>
      <c r="H27" s="89"/>
      <c r="I27" s="74"/>
      <c r="J27" s="74">
        <f>SUBTOTAL(9,J29:J29)</f>
        <v>821</v>
      </c>
      <c r="K27" s="95"/>
      <c r="L27" s="95"/>
      <c r="M27" s="99"/>
      <c r="N27" s="74"/>
      <c r="O27" s="74">
        <f>SUBTOTAL(9,O29:O29)</f>
        <v>755.32</v>
      </c>
      <c r="P27" s="103"/>
      <c r="Q27" s="106"/>
    </row>
    <row r="28" spans="1:17" outlineLevel="2" x14ac:dyDescent="0.2">
      <c r="A28" t="s">
        <v>545</v>
      </c>
      <c r="C28" s="82" t="s">
        <v>546</v>
      </c>
      <c r="D28" s="135" t="s">
        <v>184</v>
      </c>
      <c r="E28" s="135"/>
      <c r="F28" s="136"/>
      <c r="G28" s="86"/>
      <c r="H28" s="90"/>
      <c r="I28" s="92"/>
      <c r="J28" s="92">
        <f>SUBTOTAL(9,J29:J29)</f>
        <v>821</v>
      </c>
      <c r="K28" s="96"/>
      <c r="L28" s="96"/>
      <c r="M28" s="100"/>
      <c r="N28" s="92"/>
      <c r="O28" s="92">
        <f>SUBTOTAL(9,O29:O29)</f>
        <v>755.32</v>
      </c>
      <c r="P28" s="104"/>
      <c r="Q28" s="106"/>
    </row>
    <row r="29" spans="1:17" ht="60" outlineLevel="3" x14ac:dyDescent="0.2">
      <c r="A29" t="s">
        <v>547</v>
      </c>
      <c r="C29" s="39"/>
      <c r="D29" s="84" t="s">
        <v>185</v>
      </c>
      <c r="E29" s="58" t="s">
        <v>188</v>
      </c>
      <c r="F29" s="58" t="s">
        <v>191</v>
      </c>
      <c r="G29" s="72">
        <v>1</v>
      </c>
      <c r="H29" s="91">
        <f>G29*H11</f>
        <v>1</v>
      </c>
      <c r="I29" s="46">
        <v>821</v>
      </c>
      <c r="J29" s="46">
        <f>I29*H29</f>
        <v>821</v>
      </c>
      <c r="K29" s="97">
        <f>ROUND(Discount!F54,10)</f>
        <v>0.92</v>
      </c>
      <c r="L29" s="97">
        <f>1-ROUND(Discount!F54,10)</f>
        <v>7.999999999999996E-2</v>
      </c>
      <c r="M29" s="48">
        <f>POUTSOURINGHW1</f>
        <v>1</v>
      </c>
      <c r="N29" s="46">
        <f>ROUND(I29*QF_SYS_EXCHANGE1*Discount!F54*POUTSOURINGHW1,2)</f>
        <v>755.32</v>
      </c>
      <c r="O29" s="46">
        <f>N29*H29</f>
        <v>755.32</v>
      </c>
      <c r="P29" s="105" t="s">
        <v>29</v>
      </c>
      <c r="Q29" s="106"/>
    </row>
    <row r="30" spans="1:17" outlineLevel="1" x14ac:dyDescent="0.2">
      <c r="A30" t="s">
        <v>548</v>
      </c>
      <c r="C30" s="68" t="s">
        <v>549</v>
      </c>
      <c r="D30" s="129" t="s">
        <v>86</v>
      </c>
      <c r="E30" s="129"/>
      <c r="F30" s="130"/>
      <c r="G30" s="71"/>
      <c r="H30" s="89"/>
      <c r="I30" s="74"/>
      <c r="J30" s="74">
        <f>SUBTOTAL(9,J31:J31)</f>
        <v>228.357</v>
      </c>
      <c r="K30" s="95"/>
      <c r="L30" s="95"/>
      <c r="M30" s="99"/>
      <c r="N30" s="74"/>
      <c r="O30" s="74">
        <f>SUBTOTAL(9,O31:O31)</f>
        <v>95.91</v>
      </c>
      <c r="P30" s="103"/>
      <c r="Q30" s="106"/>
    </row>
    <row r="31" spans="1:17" ht="36" outlineLevel="2" x14ac:dyDescent="0.2">
      <c r="A31" t="s">
        <v>550</v>
      </c>
      <c r="C31" s="50"/>
      <c r="D31" s="107" t="s">
        <v>87</v>
      </c>
      <c r="E31" s="108" t="s">
        <v>170</v>
      </c>
      <c r="F31" s="108" t="s">
        <v>181</v>
      </c>
      <c r="G31" s="109">
        <v>1</v>
      </c>
      <c r="H31" s="110">
        <f>G31*H11</f>
        <v>1</v>
      </c>
      <c r="I31" s="54">
        <v>228.357</v>
      </c>
      <c r="J31" s="54">
        <f>I31*H31</f>
        <v>228.357</v>
      </c>
      <c r="K31" s="111">
        <f>ROUND(Discount!F55,10)</f>
        <v>0.42</v>
      </c>
      <c r="L31" s="111">
        <f>1-ROUND(Discount!F55,10)</f>
        <v>0.58000000000000007</v>
      </c>
      <c r="M31" s="55">
        <f>PHUAWEISERVICE1</f>
        <v>1</v>
      </c>
      <c r="N31" s="54">
        <f>ROUND(I31*QF_SYS_EXCHANGE1*Discount!F55*PHUAWEISERVICE1,2)</f>
        <v>95.91</v>
      </c>
      <c r="O31" s="54">
        <f>N31*H31</f>
        <v>95.91</v>
      </c>
      <c r="P31" s="112" t="s">
        <v>40</v>
      </c>
      <c r="Q31" s="106"/>
    </row>
  </sheetData>
  <mergeCells count="11">
    <mergeCell ref="D10:F10"/>
    <mergeCell ref="D11:F11"/>
    <mergeCell ref="D12:F12"/>
    <mergeCell ref="D17:F17"/>
    <mergeCell ref="D19:F19"/>
    <mergeCell ref="D30:F30"/>
    <mergeCell ref="D21:F21"/>
    <mergeCell ref="D23:F23"/>
    <mergeCell ref="D25:F25"/>
    <mergeCell ref="D27:F27"/>
    <mergeCell ref="D28:F28"/>
  </mergeCells>
  <pageMargins left="0.51181102362204722" right="0.51181102362204722" top="0.51181102362204722" bottom="0.47244094488188981" header="7.874015748031496E-2" footer="0.196850393700787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9"/>
  <sheetViews>
    <sheetView topLeftCell="B2" workbookViewId="0">
      <selection activeCell="A2" sqref="A2"/>
    </sheetView>
  </sheetViews>
  <sheetFormatPr baseColWidth="10" defaultColWidth="9.140625" defaultRowHeight="12.75" x14ac:dyDescent="0.2"/>
  <cols>
    <col min="1" max="1" width="10.28515625" style="1" hidden="1" customWidth="1"/>
    <col min="2" max="2" width="1.85546875" style="1" customWidth="1"/>
    <col min="3" max="3" width="108" style="1" customWidth="1"/>
    <col min="4" max="16384" width="9.140625" style="1"/>
  </cols>
  <sheetData>
    <row r="1" spans="1:3" ht="11.25" hidden="1" customHeight="1" x14ac:dyDescent="0.2">
      <c r="A1" s="2"/>
      <c r="B1" s="2"/>
      <c r="C1" s="12" t="s">
        <v>200</v>
      </c>
    </row>
    <row r="2" spans="1:3" ht="12" customHeight="1" x14ac:dyDescent="0.2">
      <c r="A2" s="2"/>
      <c r="B2" s="13"/>
      <c r="C2" s="14"/>
    </row>
    <row r="3" spans="1:3" ht="12" customHeight="1" x14ac:dyDescent="0.2">
      <c r="A3" s="2"/>
      <c r="B3" s="14"/>
      <c r="C3" s="14"/>
    </row>
    <row r="4" spans="1:3" ht="12" customHeight="1" x14ac:dyDescent="0.2">
      <c r="A4" s="2"/>
      <c r="B4" s="15"/>
      <c r="C4" s="16"/>
    </row>
    <row r="5" spans="1:3" ht="15.75" customHeight="1" x14ac:dyDescent="0.2">
      <c r="A5" s="2"/>
      <c r="B5" s="2"/>
      <c r="C5" s="17"/>
    </row>
    <row r="6" spans="1:3" ht="18" customHeight="1" x14ac:dyDescent="0.2">
      <c r="A6" s="2"/>
      <c r="B6" s="2"/>
      <c r="C6" s="18" t="s">
        <v>201</v>
      </c>
    </row>
    <row r="7" spans="1:3" ht="15.75" customHeight="1" x14ac:dyDescent="0.2">
      <c r="A7" s="2"/>
      <c r="B7" s="2"/>
      <c r="C7" s="19"/>
    </row>
    <row r="8" spans="1:3" ht="96" customHeight="1" x14ac:dyDescent="0.2">
      <c r="A8" s="20" t="s">
        <v>202</v>
      </c>
      <c r="B8" s="2"/>
      <c r="C8" s="19" t="str">
        <f>"1-This offer is valid until "&amp;QF_SYS_VALIDITY_DATE&amp;".
2-The price in this offer only covers the specific items (such as hardware, software and service, etc.) in the BOQ list, excluding the optional parts.
3-The prices of storage battery shall only be applied to this contract."</f>
        <v>1-This offer is valid until 2017-02-28.
2-The price in this offer only covers the specific items (such as hardware, software and service, etc.) in the BOQ list, excluding the optional parts.
3-The prices of storage battery shall only be applied to this contract.</v>
      </c>
    </row>
    <row r="9" spans="1:3" ht="12.75" customHeight="1" x14ac:dyDescent="0.2">
      <c r="A9" s="2"/>
      <c r="B9" s="2"/>
      <c r="C9" s="21"/>
    </row>
    <row r="10" spans="1:3" ht="50.25" customHeight="1" x14ac:dyDescent="0.2">
      <c r="A10" s="2"/>
      <c r="B10" s="2"/>
      <c r="C10" s="21" t="s">
        <v>203</v>
      </c>
    </row>
    <row r="11" spans="1:3" ht="12.75" customHeight="1" x14ac:dyDescent="0.2">
      <c r="A11" s="2"/>
      <c r="B11" s="2"/>
      <c r="C11" s="21"/>
    </row>
    <row r="12" spans="1:3" ht="40.5" customHeight="1" x14ac:dyDescent="0.2">
      <c r="A12" s="2"/>
      <c r="B12" s="2"/>
      <c r="C12" s="21" t="s">
        <v>204</v>
      </c>
    </row>
    <row r="13" spans="1:3" ht="12.75" customHeight="1" x14ac:dyDescent="0.2">
      <c r="A13" s="2"/>
      <c r="B13" s="2"/>
      <c r="C13" s="21"/>
    </row>
    <row r="14" spans="1:3" ht="16.5" customHeight="1" x14ac:dyDescent="0.2">
      <c r="A14" s="2"/>
      <c r="B14" s="2"/>
      <c r="C14" s="21" t="s">
        <v>205</v>
      </c>
    </row>
    <row r="15" spans="1:3" ht="12.75" customHeight="1" x14ac:dyDescent="0.2">
      <c r="A15" s="2"/>
      <c r="B15" s="2"/>
      <c r="C15" s="21"/>
    </row>
    <row r="16" spans="1:3" ht="54" customHeight="1" x14ac:dyDescent="0.2">
      <c r="A16" s="2"/>
      <c r="B16" s="2"/>
      <c r="C16" s="21" t="s">
        <v>206</v>
      </c>
    </row>
    <row r="17" spans="1:3" ht="12.75" customHeight="1" x14ac:dyDescent="0.2">
      <c r="A17" s="2"/>
      <c r="B17" s="2"/>
      <c r="C17" s="21"/>
    </row>
    <row r="18" spans="1:3" ht="76.5" customHeight="1" x14ac:dyDescent="0.2">
      <c r="A18" s="2"/>
      <c r="B18" s="2"/>
      <c r="C18" s="21" t="s">
        <v>207</v>
      </c>
    </row>
    <row r="19" spans="1:3" ht="19.5" customHeight="1" x14ac:dyDescent="0.2">
      <c r="A19" s="2"/>
      <c r="B19" s="2"/>
      <c r="C19" s="22"/>
    </row>
  </sheetData>
  <printOptions horizontalCentered="1"/>
  <pageMargins left="0.51181102362204722" right="0.51181102362204722" top="0.51181102362204722" bottom="0.47244094488188981" header="7.874015748031496E-2" footer="0.196850393700787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E23"/>
  <sheetViews>
    <sheetView topLeftCell="B1" workbookViewId="0">
      <selection activeCell="C10" sqref="C10"/>
    </sheetView>
  </sheetViews>
  <sheetFormatPr baseColWidth="10" defaultColWidth="9.140625" defaultRowHeight="12.75" x14ac:dyDescent="0.2"/>
  <cols>
    <col min="1" max="1" width="0" style="1" hidden="1" customWidth="1"/>
    <col min="2" max="2" width="2.28515625" style="1" customWidth="1"/>
    <col min="3" max="3" width="23.28515625" style="1" customWidth="1"/>
    <col min="4" max="4" width="60" style="1" customWidth="1"/>
    <col min="5" max="5" width="10.28515625" style="1" customWidth="1"/>
    <col min="6" max="16384" width="9.140625" style="1"/>
  </cols>
  <sheetData>
    <row r="2" spans="1:5" ht="12" customHeight="1" x14ac:dyDescent="0.2">
      <c r="A2" s="2"/>
      <c r="B2" s="23"/>
      <c r="C2" s="23"/>
      <c r="D2" s="23"/>
      <c r="E2" s="23"/>
    </row>
    <row r="3" spans="1:5" ht="12" customHeight="1" x14ac:dyDescent="0.2">
      <c r="A3" s="2"/>
      <c r="B3" s="23"/>
      <c r="C3" s="23"/>
      <c r="D3" s="23"/>
      <c r="E3" s="23"/>
    </row>
    <row r="4" spans="1:5" ht="12" customHeight="1" x14ac:dyDescent="0.2">
      <c r="A4" s="2"/>
      <c r="B4" s="23"/>
      <c r="C4" s="24"/>
      <c r="D4" s="24"/>
      <c r="E4" s="23"/>
    </row>
    <row r="5" spans="1:5" ht="12" customHeight="1" x14ac:dyDescent="0.2">
      <c r="A5" s="2"/>
      <c r="B5" s="25"/>
      <c r="C5" s="25"/>
      <c r="D5" s="25"/>
      <c r="E5" s="25"/>
    </row>
    <row r="6" spans="1:5" ht="12" customHeight="1" x14ac:dyDescent="0.2">
      <c r="A6" s="2"/>
      <c r="B6" s="23"/>
      <c r="C6" s="26"/>
      <c r="D6" s="27"/>
      <c r="E6" s="23"/>
    </row>
    <row r="7" spans="1:5" ht="12" customHeight="1" x14ac:dyDescent="0.2">
      <c r="A7" s="2"/>
      <c r="B7" s="23"/>
      <c r="C7" s="28"/>
      <c r="D7" s="28"/>
      <c r="E7" s="23"/>
    </row>
    <row r="8" spans="1:5" ht="12" customHeight="1" x14ac:dyDescent="0.2">
      <c r="A8" s="2"/>
      <c r="B8" s="23"/>
      <c r="C8" s="29" t="s">
        <v>208</v>
      </c>
      <c r="D8" s="30"/>
      <c r="E8" s="23"/>
    </row>
    <row r="9" spans="1:5" ht="12" customHeight="1" x14ac:dyDescent="0.2">
      <c r="A9" s="2"/>
      <c r="B9" s="23"/>
      <c r="C9" s="31" t="s">
        <v>209</v>
      </c>
      <c r="D9" s="31" t="s">
        <v>210</v>
      </c>
      <c r="E9" s="23"/>
    </row>
    <row r="10" spans="1:5" ht="24" customHeight="1" x14ac:dyDescent="0.2">
      <c r="A10" s="2"/>
      <c r="B10" s="23"/>
      <c r="C10" s="32" t="s">
        <v>211</v>
      </c>
      <c r="D10" s="33" t="s">
        <v>197</v>
      </c>
      <c r="E10" s="23"/>
    </row>
    <row r="11" spans="1:5" ht="12" customHeight="1" x14ac:dyDescent="0.2">
      <c r="A11" s="2"/>
      <c r="B11" s="23"/>
      <c r="C11" s="32" t="s">
        <v>212</v>
      </c>
      <c r="D11" s="33" t="s">
        <v>195</v>
      </c>
      <c r="E11" s="23"/>
    </row>
    <row r="12" spans="1:5" ht="24" hidden="1" customHeight="1" x14ac:dyDescent="0.2">
      <c r="A12" s="2"/>
      <c r="B12" s="23"/>
      <c r="C12" s="32" t="s">
        <v>213</v>
      </c>
      <c r="D12" s="33"/>
      <c r="E12" s="23"/>
    </row>
    <row r="13" spans="1:5" ht="12" hidden="1" customHeight="1" x14ac:dyDescent="0.2">
      <c r="A13" s="2"/>
      <c r="B13" s="23"/>
      <c r="C13" s="32" t="s">
        <v>214</v>
      </c>
      <c r="D13" s="33"/>
      <c r="E13" s="23"/>
    </row>
    <row r="14" spans="1:5" ht="12" hidden="1" customHeight="1" x14ac:dyDescent="0.2">
      <c r="A14" s="2"/>
      <c r="B14" s="23"/>
      <c r="C14" s="32" t="s">
        <v>215</v>
      </c>
      <c r="D14" s="33"/>
      <c r="E14" s="23"/>
    </row>
    <row r="15" spans="1:5" ht="12" hidden="1" customHeight="1" x14ac:dyDescent="0.2">
      <c r="A15" s="2"/>
      <c r="B15" s="23"/>
      <c r="C15" s="32" t="s">
        <v>216</v>
      </c>
      <c r="D15" s="33"/>
      <c r="E15" s="23"/>
    </row>
    <row r="16" spans="1:5" ht="12" customHeight="1" x14ac:dyDescent="0.2">
      <c r="A16" s="2"/>
      <c r="B16" s="23"/>
      <c r="C16" s="32" t="s">
        <v>217</v>
      </c>
      <c r="D16" s="33" t="s">
        <v>196</v>
      </c>
      <c r="E16" s="23"/>
    </row>
    <row r="17" spans="1:5" ht="24" customHeight="1" x14ac:dyDescent="0.2">
      <c r="A17" s="2"/>
      <c r="B17" s="23"/>
      <c r="C17" s="32" t="s">
        <v>218</v>
      </c>
      <c r="D17" s="33" t="s">
        <v>219</v>
      </c>
      <c r="E17" s="23"/>
    </row>
    <row r="18" spans="1:5" ht="24" hidden="1" customHeight="1" x14ac:dyDescent="0.2">
      <c r="A18" s="2"/>
      <c r="B18" s="23"/>
      <c r="C18" s="32" t="s">
        <v>220</v>
      </c>
      <c r="D18" s="33"/>
      <c r="E18" s="23"/>
    </row>
    <row r="19" spans="1:5" ht="12" customHeight="1" x14ac:dyDescent="0.2">
      <c r="A19" s="2"/>
      <c r="B19" s="23"/>
      <c r="C19" s="23"/>
      <c r="D19" s="23"/>
      <c r="E19" s="23"/>
    </row>
    <row r="20" spans="1:5" ht="12" customHeight="1" x14ac:dyDescent="0.2">
      <c r="A20" s="2"/>
      <c r="B20" s="23"/>
      <c r="C20" s="23"/>
      <c r="D20" s="23"/>
      <c r="E20" s="23"/>
    </row>
    <row r="21" spans="1:5" ht="12" customHeight="1" x14ac:dyDescent="0.2">
      <c r="A21" s="2"/>
      <c r="B21" s="23"/>
      <c r="C21" s="23"/>
      <c r="D21" s="23"/>
      <c r="E21" s="23"/>
    </row>
    <row r="22" spans="1:5" ht="12" customHeight="1" x14ac:dyDescent="0.2">
      <c r="A22" s="2"/>
      <c r="B22" s="23"/>
      <c r="C22" s="23"/>
      <c r="D22" s="23"/>
      <c r="E22" s="23"/>
    </row>
    <row r="23" spans="1:5" ht="12" customHeight="1" x14ac:dyDescent="0.2">
      <c r="A23" s="2"/>
      <c r="B23" s="23"/>
      <c r="C23" s="23"/>
      <c r="D23" s="23"/>
      <c r="E23" s="23"/>
    </row>
  </sheetData>
  <printOptions horizontalCentered="1"/>
  <pageMargins left="0.51181102362204722" right="0.51181102362204722" top="0.51181102362204722" bottom="0.47244094488188981" header="7.874015748031496E-2" footer="0.196850393700787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55"/>
  <sheetViews>
    <sheetView topLeftCell="B26" workbookViewId="0">
      <selection activeCell="J33" sqref="J33:K33"/>
    </sheetView>
  </sheetViews>
  <sheetFormatPr baseColWidth="10" defaultColWidth="9.140625" defaultRowHeight="12.75" x14ac:dyDescent="0.2"/>
  <cols>
    <col min="1" max="1" width="1.85546875" style="1" hidden="1" customWidth="1"/>
    <col min="2" max="2" width="1.85546875" style="1" customWidth="1"/>
    <col min="3" max="3" width="12.42578125" style="1" customWidth="1"/>
    <col min="4" max="4" width="9.140625" style="1"/>
    <col min="5" max="5" width="28" style="1" customWidth="1"/>
    <col min="6" max="6" width="24.28515625" style="1" hidden="1" customWidth="1"/>
    <col min="7" max="7" width="24.28515625" style="1" customWidth="1"/>
    <col min="8" max="10" width="18.140625" style="1" customWidth="1"/>
    <col min="11" max="16384" width="9.140625" style="1"/>
  </cols>
  <sheetData>
    <row r="1" spans="1:11" ht="12.75" hidden="1" customHeight="1" x14ac:dyDescent="0.2">
      <c r="C1" t="s">
        <v>221</v>
      </c>
      <c r="E1" t="s">
        <v>222</v>
      </c>
      <c r="F1" t="s">
        <v>223</v>
      </c>
      <c r="G1" t="s">
        <v>224</v>
      </c>
      <c r="H1" t="s">
        <v>225</v>
      </c>
      <c r="I1" t="s">
        <v>226</v>
      </c>
      <c r="J1" t="s">
        <v>227</v>
      </c>
    </row>
    <row r="2" spans="1:11" ht="12.75" customHeight="1" x14ac:dyDescent="0.2"/>
    <row r="3" spans="1:11" ht="12.75" customHeight="1" x14ac:dyDescent="0.2"/>
    <row r="4" spans="1:11" ht="12.75" customHeight="1" x14ac:dyDescent="0.2"/>
    <row r="5" spans="1:11" ht="12.75" customHeight="1" x14ac:dyDescent="0.2"/>
    <row r="6" spans="1:11" ht="12.75" customHeight="1" x14ac:dyDescent="0.2">
      <c r="C6" s="36"/>
      <c r="D6" s="36"/>
      <c r="E6" s="36"/>
      <c r="F6" s="36"/>
      <c r="G6" s="36"/>
      <c r="H6" s="36"/>
      <c r="I6" s="36"/>
      <c r="J6" s="36"/>
      <c r="K6" s="36"/>
    </row>
    <row r="7" spans="1:11" ht="12.75" customHeight="1" x14ac:dyDescent="0.2"/>
    <row r="8" spans="1:11" ht="12.75" customHeight="1" x14ac:dyDescent="0.2"/>
    <row r="9" spans="1:11" x14ac:dyDescent="0.2">
      <c r="C9" s="34" t="s">
        <v>4</v>
      </c>
    </row>
    <row r="10" spans="1:11" x14ac:dyDescent="0.2">
      <c r="C10" s="122" t="s">
        <v>0</v>
      </c>
      <c r="D10" s="122"/>
      <c r="E10" s="122"/>
      <c r="F10" s="122" t="s">
        <v>1</v>
      </c>
      <c r="G10" s="122"/>
    </row>
    <row r="11" spans="1:11" x14ac:dyDescent="0.2">
      <c r="A11" t="s">
        <v>228</v>
      </c>
      <c r="C11" s="123" t="s">
        <v>2</v>
      </c>
      <c r="D11" s="123"/>
      <c r="E11" s="123"/>
      <c r="F11" s="127" t="s">
        <v>7</v>
      </c>
      <c r="G11" s="127"/>
    </row>
    <row r="12" spans="1:11" hidden="1" x14ac:dyDescent="0.2">
      <c r="A12" t="s">
        <v>229</v>
      </c>
      <c r="C12" s="123" t="s">
        <v>3</v>
      </c>
      <c r="D12" s="123"/>
      <c r="E12" s="123"/>
      <c r="F12" s="127" t="s">
        <v>7</v>
      </c>
      <c r="G12" s="127"/>
    </row>
    <row r="13" spans="1:11" x14ac:dyDescent="0.2">
      <c r="A13" t="s">
        <v>230</v>
      </c>
      <c r="C13" s="123" t="str">
        <f>"Exchange(1 "&amp;QF_SYS_LISTPRICECURRENCY&amp;"=)"</f>
        <v>Exchange(1 USD=)</v>
      </c>
      <c r="D13" s="123"/>
      <c r="E13" s="123"/>
      <c r="F13" s="125">
        <v>1</v>
      </c>
      <c r="G13" s="125"/>
    </row>
    <row r="14" spans="1:11" x14ac:dyDescent="0.2">
      <c r="A14" t="s">
        <v>231</v>
      </c>
      <c r="C14" s="123" t="s">
        <v>4</v>
      </c>
      <c r="D14" s="123"/>
      <c r="E14" s="123"/>
      <c r="F14" s="127" t="s">
        <v>8</v>
      </c>
      <c r="G14" s="127"/>
    </row>
    <row r="15" spans="1:11" hidden="1" x14ac:dyDescent="0.2">
      <c r="A15" t="s">
        <v>232</v>
      </c>
      <c r="C15" s="123" t="s">
        <v>5</v>
      </c>
      <c r="D15" s="123"/>
      <c r="E15" s="123"/>
      <c r="F15" s="127" t="s">
        <v>9</v>
      </c>
      <c r="G15" s="127"/>
    </row>
    <row r="16" spans="1:11" x14ac:dyDescent="0.2">
      <c r="A16" t="s">
        <v>233</v>
      </c>
      <c r="C16" s="124" t="s">
        <v>6</v>
      </c>
      <c r="D16" s="124"/>
      <c r="E16" s="124"/>
      <c r="F16" s="128" t="s">
        <v>10</v>
      </c>
      <c r="G16" s="128"/>
    </row>
    <row r="18" spans="1:11" x14ac:dyDescent="0.2">
      <c r="C18" s="34" t="s">
        <v>11</v>
      </c>
    </row>
    <row r="19" spans="1:11" ht="52.5" customHeight="1" x14ac:dyDescent="0.2">
      <c r="C19" s="122" t="s">
        <v>11</v>
      </c>
      <c r="D19" s="122"/>
      <c r="E19" s="122"/>
      <c r="F19" s="122" t="str">
        <f>IF(AND(QF_SYS_TRADETERMDESC1="",QF_SYS_DESTINATION1=""),"Value","Value" &amp; "
("&amp;QF_SYS_TRADETERMDESC1&amp;IF(QF_SYS_DESTINATION1="","",IF(QF_SYS_TRADETERMDESC1="",""," "))&amp;QF_SYS_DESTINATION1&amp; ")")</f>
        <v>Value
(FCA Hongkong_China)</v>
      </c>
      <c r="G19" s="122"/>
    </row>
    <row r="20" spans="1:11" x14ac:dyDescent="0.2">
      <c r="A20" t="s">
        <v>234</v>
      </c>
      <c r="C20" s="123" t="s">
        <v>12</v>
      </c>
      <c r="D20" s="123"/>
      <c r="E20" s="123"/>
      <c r="F20" s="125">
        <v>1</v>
      </c>
      <c r="G20" s="125"/>
    </row>
    <row r="21" spans="1:11" x14ac:dyDescent="0.2">
      <c r="A21" t="s">
        <v>235</v>
      </c>
      <c r="C21" s="123" t="s">
        <v>13</v>
      </c>
      <c r="D21" s="123"/>
      <c r="E21" s="123"/>
      <c r="F21" s="125">
        <v>1</v>
      </c>
      <c r="G21" s="125"/>
    </row>
    <row r="22" spans="1:11" x14ac:dyDescent="0.2">
      <c r="A22" t="s">
        <v>236</v>
      </c>
      <c r="C22" s="123" t="s">
        <v>14</v>
      </c>
      <c r="D22" s="123"/>
      <c r="E22" s="123"/>
      <c r="F22" s="125">
        <v>1</v>
      </c>
      <c r="G22" s="125"/>
    </row>
    <row r="23" spans="1:11" x14ac:dyDescent="0.2">
      <c r="A23" t="s">
        <v>237</v>
      </c>
      <c r="C23" s="123" t="s">
        <v>15</v>
      </c>
      <c r="D23" s="123"/>
      <c r="E23" s="123"/>
      <c r="F23" s="125">
        <v>1</v>
      </c>
      <c r="G23" s="125"/>
    </row>
    <row r="24" spans="1:11" x14ac:dyDescent="0.2">
      <c r="A24" t="s">
        <v>238</v>
      </c>
      <c r="C24" s="123" t="s">
        <v>16</v>
      </c>
      <c r="D24" s="123"/>
      <c r="E24" s="123"/>
      <c r="F24" s="125">
        <v>1</v>
      </c>
      <c r="G24" s="125"/>
    </row>
    <row r="25" spans="1:11" x14ac:dyDescent="0.2">
      <c r="A25" t="s">
        <v>239</v>
      </c>
      <c r="C25" s="123" t="s">
        <v>17</v>
      </c>
      <c r="D25" s="123"/>
      <c r="E25" s="123"/>
      <c r="F25" s="125">
        <v>1</v>
      </c>
      <c r="G25" s="125"/>
    </row>
    <row r="26" spans="1:11" x14ac:dyDescent="0.2">
      <c r="A26" t="s">
        <v>240</v>
      </c>
      <c r="C26" s="123" t="s">
        <v>18</v>
      </c>
      <c r="D26" s="123"/>
      <c r="E26" s="123"/>
      <c r="F26" s="125">
        <v>1</v>
      </c>
      <c r="G26" s="125"/>
    </row>
    <row r="27" spans="1:11" x14ac:dyDescent="0.2">
      <c r="A27" t="s">
        <v>241</v>
      </c>
      <c r="C27" s="123" t="s">
        <v>19</v>
      </c>
      <c r="D27" s="123"/>
      <c r="E27" s="123"/>
      <c r="F27" s="125">
        <v>1</v>
      </c>
      <c r="G27" s="125"/>
    </row>
    <row r="28" spans="1:11" x14ac:dyDescent="0.2">
      <c r="A28" t="s">
        <v>242</v>
      </c>
      <c r="C28" s="123" t="s">
        <v>20</v>
      </c>
      <c r="D28" s="123"/>
      <c r="E28" s="123"/>
      <c r="F28" s="125">
        <v>1</v>
      </c>
      <c r="G28" s="125"/>
    </row>
    <row r="29" spans="1:11" x14ac:dyDescent="0.2">
      <c r="A29" t="s">
        <v>243</v>
      </c>
      <c r="C29" s="124" t="s">
        <v>21</v>
      </c>
      <c r="D29" s="124"/>
      <c r="E29" s="124"/>
      <c r="F29" s="126">
        <v>1</v>
      </c>
      <c r="G29" s="126"/>
    </row>
    <row r="31" spans="1:11" x14ac:dyDescent="0.2">
      <c r="C31" s="34" t="s">
        <v>244</v>
      </c>
    </row>
    <row r="32" spans="1:11" ht="24" customHeight="1" x14ac:dyDescent="0.2">
      <c r="C32" s="122" t="s">
        <v>22</v>
      </c>
      <c r="D32" s="122"/>
      <c r="E32" s="35" t="s">
        <v>23</v>
      </c>
      <c r="F32" s="37" t="s">
        <v>24</v>
      </c>
      <c r="G32" s="35" t="s">
        <v>25</v>
      </c>
      <c r="H32" s="35" t="str">
        <f>"Total List Price" &amp; "
(" &amp; QF_SYS_LISTPRICECURRENCY&amp; ")"</f>
        <v>Total List Price
(USD)</v>
      </c>
      <c r="I32" s="35" t="s">
        <v>11</v>
      </c>
      <c r="J32" s="122"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K32" s="122"/>
    </row>
    <row r="33" spans="1:11" x14ac:dyDescent="0.2">
      <c r="A33" t="s">
        <v>245</v>
      </c>
      <c r="C33" s="120" t="s">
        <v>246</v>
      </c>
      <c r="D33" s="120"/>
      <c r="E33" s="40" t="s">
        <v>26</v>
      </c>
      <c r="F33" s="42"/>
      <c r="G33" s="42"/>
      <c r="H33" s="45">
        <f>SUBTOTAL(9,H35:H55)</f>
        <v>77520.97</v>
      </c>
      <c r="I33" s="47"/>
      <c r="J33" s="117">
        <f>SUBTOTAL(9,J35:J55)</f>
        <v>33517.629999999997</v>
      </c>
      <c r="K33" s="117"/>
    </row>
    <row r="34" spans="1:11" x14ac:dyDescent="0.2">
      <c r="A34" t="s">
        <v>247</v>
      </c>
      <c r="C34" s="120" t="s">
        <v>248</v>
      </c>
      <c r="D34" s="120"/>
      <c r="E34" s="40" t="s">
        <v>27</v>
      </c>
      <c r="F34" s="42"/>
      <c r="G34" s="42"/>
      <c r="H34" s="45">
        <f>SUBTOTAL(9,H35:H37)</f>
        <v>2929.88</v>
      </c>
      <c r="I34" s="47"/>
      <c r="J34" s="117">
        <f>SUBTOTAL(9,J35:J37)</f>
        <v>1375.8600000000001</v>
      </c>
      <c r="K34" s="117"/>
    </row>
    <row r="35" spans="1:11" x14ac:dyDescent="0.2">
      <c r="A35" t="s">
        <v>249</v>
      </c>
      <c r="C35" s="119"/>
      <c r="D35" s="119"/>
      <c r="E35" s="41" t="s">
        <v>28</v>
      </c>
      <c r="F35" s="43">
        <f>1- ROUND(G35,10)</f>
        <v>0.38</v>
      </c>
      <c r="G35" s="44">
        <v>0.62</v>
      </c>
      <c r="H35" s="46">
        <f>FIREWALL!J14</f>
        <v>2220</v>
      </c>
      <c r="I35" s="48">
        <f>PHUAWEIHW1</f>
        <v>1</v>
      </c>
      <c r="J35" s="116">
        <f>FIREWALL!O14</f>
        <v>843.6</v>
      </c>
      <c r="K35" s="116"/>
    </row>
    <row r="36" spans="1:11" x14ac:dyDescent="0.2">
      <c r="A36" t="s">
        <v>250</v>
      </c>
      <c r="C36" s="119"/>
      <c r="D36" s="119"/>
      <c r="E36" s="41" t="s">
        <v>29</v>
      </c>
      <c r="F36" s="43">
        <f>1- ROUND(G36,10)</f>
        <v>0.92</v>
      </c>
      <c r="G36" s="44">
        <v>7.999999999999996E-2</v>
      </c>
      <c r="H36" s="46">
        <f>FIREWALL!J16+FIREWALL!J18+FIREWALL!J20</f>
        <v>515</v>
      </c>
      <c r="I36" s="48">
        <f>POUTSOURINGHW1</f>
        <v>1</v>
      </c>
      <c r="J36" s="116">
        <f>FIREWALL!O16+FIREWALL!O18+FIREWALL!O20</f>
        <v>473.8</v>
      </c>
      <c r="K36" s="116"/>
    </row>
    <row r="37" spans="1:11" ht="24" x14ac:dyDescent="0.2">
      <c r="A37" t="s">
        <v>251</v>
      </c>
      <c r="C37" s="119"/>
      <c r="D37" s="119"/>
      <c r="E37" s="41" t="s">
        <v>30</v>
      </c>
      <c r="F37" s="43">
        <f>1- ROUND(G37,10)</f>
        <v>0.30000000000000004</v>
      </c>
      <c r="G37" s="44">
        <v>0.7</v>
      </c>
      <c r="H37" s="46">
        <f>FIREWALL!J22</f>
        <v>194.88</v>
      </c>
      <c r="I37" s="48">
        <f>PHUAWEISERVICE1</f>
        <v>1</v>
      </c>
      <c r="J37" s="116">
        <f>FIREWALL!O22</f>
        <v>58.46</v>
      </c>
      <c r="K37" s="116"/>
    </row>
    <row r="38" spans="1:11" x14ac:dyDescent="0.2">
      <c r="A38" t="s">
        <v>252</v>
      </c>
      <c r="C38" s="120" t="s">
        <v>253</v>
      </c>
      <c r="D38" s="120"/>
      <c r="E38" s="40" t="s">
        <v>31</v>
      </c>
      <c r="F38" s="42"/>
      <c r="G38" s="42"/>
      <c r="H38" s="45">
        <f>SUBTOTAL(9,H39:H41)</f>
        <v>1684.8</v>
      </c>
      <c r="I38" s="47"/>
      <c r="J38" s="117">
        <f>SUBTOTAL(9,J39:J41)</f>
        <v>450.84</v>
      </c>
      <c r="K38" s="117"/>
    </row>
    <row r="39" spans="1:11" x14ac:dyDescent="0.2">
      <c r="A39" t="s">
        <v>254</v>
      </c>
      <c r="C39" s="119"/>
      <c r="D39" s="119"/>
      <c r="E39" s="41" t="s">
        <v>28</v>
      </c>
      <c r="F39" s="43">
        <f>1- ROUND(G39,10)</f>
        <v>0.26</v>
      </c>
      <c r="G39" s="44">
        <v>0.74</v>
      </c>
      <c r="H39" s="46">
        <f>ROUTER!J13</f>
        <v>1520</v>
      </c>
      <c r="I39" s="48">
        <f>PHUAWEIHW1</f>
        <v>1</v>
      </c>
      <c r="J39" s="116">
        <f>ROUTER!O13</f>
        <v>395.2</v>
      </c>
      <c r="K39" s="116"/>
    </row>
    <row r="40" spans="1:11" x14ac:dyDescent="0.2">
      <c r="A40" t="s">
        <v>255</v>
      </c>
      <c r="C40" s="119"/>
      <c r="D40" s="119"/>
      <c r="E40" s="41" t="s">
        <v>29</v>
      </c>
      <c r="F40" s="43">
        <f>1- ROUND(G40,10)</f>
        <v>0.92</v>
      </c>
      <c r="G40" s="44">
        <v>7.999999999999996E-2</v>
      </c>
      <c r="H40" s="46">
        <f>ROUTER!J16</f>
        <v>10</v>
      </c>
      <c r="I40" s="48">
        <f>POUTSOURINGHW1</f>
        <v>1</v>
      </c>
      <c r="J40" s="116">
        <f>ROUTER!O16</f>
        <v>9.1999999999999993</v>
      </c>
      <c r="K40" s="116"/>
    </row>
    <row r="41" spans="1:11" ht="24" x14ac:dyDescent="0.2">
      <c r="A41" t="s">
        <v>256</v>
      </c>
      <c r="C41" s="119"/>
      <c r="D41" s="119"/>
      <c r="E41" s="41" t="s">
        <v>32</v>
      </c>
      <c r="F41" s="43">
        <f>1- ROUND(G41,10)</f>
        <v>0.30000000000000004</v>
      </c>
      <c r="G41" s="44">
        <v>0.7</v>
      </c>
      <c r="H41" s="46">
        <f>ROUTER!J18</f>
        <v>154.80000000000001</v>
      </c>
      <c r="I41" s="48">
        <f>PHUAWEISERVICE1</f>
        <v>1</v>
      </c>
      <c r="J41" s="116">
        <f>ROUTER!O18</f>
        <v>46.44</v>
      </c>
      <c r="K41" s="116"/>
    </row>
    <row r="42" spans="1:11" ht="24" x14ac:dyDescent="0.2">
      <c r="A42" t="s">
        <v>257</v>
      </c>
      <c r="C42" s="120" t="s">
        <v>258</v>
      </c>
      <c r="D42" s="120"/>
      <c r="E42" s="40" t="s">
        <v>33</v>
      </c>
      <c r="F42" s="42"/>
      <c r="G42" s="42"/>
      <c r="H42" s="45">
        <f>SUBTOTAL(9,H43:H45)</f>
        <v>6817.4</v>
      </c>
      <c r="I42" s="47"/>
      <c r="J42" s="117">
        <f>SUBTOTAL(9,J43:J45)</f>
        <v>1635.02</v>
      </c>
      <c r="K42" s="117"/>
    </row>
    <row r="43" spans="1:11" x14ac:dyDescent="0.2">
      <c r="A43" t="s">
        <v>259</v>
      </c>
      <c r="C43" s="119"/>
      <c r="D43" s="119"/>
      <c r="E43" s="41" t="s">
        <v>28</v>
      </c>
      <c r="F43" s="43">
        <f>1- ROUND(G43,10)</f>
        <v>0.21999999999999997</v>
      </c>
      <c r="G43" s="44">
        <v>0.78</v>
      </c>
      <c r="H43" s="46">
        <f>'SWITCH 48P'!J14</f>
        <v>6290</v>
      </c>
      <c r="I43" s="48">
        <f>PHUAWEIHW1</f>
        <v>1</v>
      </c>
      <c r="J43" s="116">
        <f>'SWITCH 48P'!O14</f>
        <v>1383.8</v>
      </c>
      <c r="K43" s="116"/>
    </row>
    <row r="44" spans="1:11" x14ac:dyDescent="0.2">
      <c r="A44" t="s">
        <v>260</v>
      </c>
      <c r="C44" s="119"/>
      <c r="D44" s="119"/>
      <c r="E44" s="41" t="s">
        <v>29</v>
      </c>
      <c r="F44" s="43">
        <f>1- ROUND(G44,10)</f>
        <v>0.92</v>
      </c>
      <c r="G44" s="44">
        <v>7.999999999999996E-2</v>
      </c>
      <c r="H44" s="46">
        <f>'SWITCH 48P'!J16</f>
        <v>150</v>
      </c>
      <c r="I44" s="48">
        <f>POUTSOURINGHW1</f>
        <v>1</v>
      </c>
      <c r="J44" s="116">
        <f>'SWITCH 48P'!O16</f>
        <v>138</v>
      </c>
      <c r="K44" s="116"/>
    </row>
    <row r="45" spans="1:11" ht="24" x14ac:dyDescent="0.2">
      <c r="A45" t="s">
        <v>261</v>
      </c>
      <c r="C45" s="119"/>
      <c r="D45" s="119"/>
      <c r="E45" s="41" t="s">
        <v>32</v>
      </c>
      <c r="F45" s="43">
        <f>1- ROUND(G45,10)</f>
        <v>0.30000000000000004</v>
      </c>
      <c r="G45" s="44">
        <v>0.7</v>
      </c>
      <c r="H45" s="46">
        <f>'SWITCH 48P'!J18</f>
        <v>377.4</v>
      </c>
      <c r="I45" s="48">
        <f>PHUAWEISERVICE1</f>
        <v>1</v>
      </c>
      <c r="J45" s="116">
        <f>'SWITCH 48P'!O18</f>
        <v>113.22</v>
      </c>
      <c r="K45" s="116"/>
    </row>
    <row r="46" spans="1:11" x14ac:dyDescent="0.2">
      <c r="A46" t="s">
        <v>262</v>
      </c>
      <c r="C46" s="120" t="s">
        <v>263</v>
      </c>
      <c r="D46" s="120"/>
      <c r="E46" s="40" t="s">
        <v>34</v>
      </c>
      <c r="F46" s="42"/>
      <c r="G46" s="42"/>
      <c r="H46" s="45">
        <f>SUBTOTAL(9,H47:H51)</f>
        <v>32066.105</v>
      </c>
      <c r="I46" s="47"/>
      <c r="J46" s="117">
        <f>SUBTOTAL(9,J47:J51)</f>
        <v>9429.2800000000007</v>
      </c>
      <c r="K46" s="117"/>
    </row>
    <row r="47" spans="1:11" x14ac:dyDescent="0.2">
      <c r="A47" t="s">
        <v>264</v>
      </c>
      <c r="C47" s="119"/>
      <c r="D47" s="119"/>
      <c r="E47" s="41" t="s">
        <v>35</v>
      </c>
      <c r="F47" s="43">
        <f>1- ROUND(G47,10)</f>
        <v>0.27</v>
      </c>
      <c r="G47" s="44">
        <v>0.73</v>
      </c>
      <c r="H47" s="46">
        <f>STORAGE!J13+STORAGE!J15+STORAGE!J17</f>
        <v>27920</v>
      </c>
      <c r="I47" s="48">
        <f>PHUAWEIHW1</f>
        <v>1</v>
      </c>
      <c r="J47" s="116">
        <f>STORAGE!O13+STORAGE!O15+STORAGE!O17</f>
        <v>7538.4</v>
      </c>
      <c r="K47" s="116"/>
    </row>
    <row r="48" spans="1:11" x14ac:dyDescent="0.2">
      <c r="A48" t="s">
        <v>265</v>
      </c>
      <c r="C48" s="119"/>
      <c r="D48" s="119"/>
      <c r="E48" s="41" t="s">
        <v>36</v>
      </c>
      <c r="F48" s="43">
        <f>1- ROUND(G48,10)</f>
        <v>0.27</v>
      </c>
      <c r="G48" s="44">
        <v>0.73</v>
      </c>
      <c r="H48" s="46">
        <f>STORAGE!J22</f>
        <v>2210</v>
      </c>
      <c r="I48" s="48">
        <f>PHUAWEISW1</f>
        <v>1</v>
      </c>
      <c r="J48" s="116">
        <f>STORAGE!O22</f>
        <v>596.70000000000005</v>
      </c>
      <c r="K48" s="116"/>
    </row>
    <row r="49" spans="1:11" x14ac:dyDescent="0.2">
      <c r="A49" t="s">
        <v>266</v>
      </c>
      <c r="C49" s="119"/>
      <c r="D49" s="119"/>
      <c r="E49" s="41" t="s">
        <v>29</v>
      </c>
      <c r="F49" s="43">
        <f>1- ROUND(G49,10)</f>
        <v>0.92</v>
      </c>
      <c r="G49" s="44">
        <v>7.999999999999996E-2</v>
      </c>
      <c r="H49" s="46">
        <f>STORAGE!J19</f>
        <v>88</v>
      </c>
      <c r="I49" s="48">
        <f>POUTSOURINGHW1</f>
        <v>1</v>
      </c>
      <c r="J49" s="116">
        <f>STORAGE!O19</f>
        <v>80.959999999999994</v>
      </c>
      <c r="K49" s="116"/>
    </row>
    <row r="50" spans="1:11" ht="24" x14ac:dyDescent="0.2">
      <c r="A50" t="s">
        <v>267</v>
      </c>
      <c r="C50" s="119"/>
      <c r="D50" s="119"/>
      <c r="E50" s="41" t="s">
        <v>37</v>
      </c>
      <c r="F50" s="43">
        <f>1- ROUND(G50,10)</f>
        <v>1</v>
      </c>
      <c r="G50" s="44">
        <v>0</v>
      </c>
      <c r="H50" s="46">
        <f>STORAGE!J25</f>
        <v>497.28</v>
      </c>
      <c r="I50" s="48">
        <f>PHUAWEISERVICE1</f>
        <v>1</v>
      </c>
      <c r="J50" s="116">
        <f>STORAGE!O25</f>
        <v>497.28</v>
      </c>
      <c r="K50" s="116"/>
    </row>
    <row r="51" spans="1:11" ht="24" x14ac:dyDescent="0.2">
      <c r="A51" t="s">
        <v>268</v>
      </c>
      <c r="C51" s="119"/>
      <c r="D51" s="119"/>
      <c r="E51" s="41" t="s">
        <v>38</v>
      </c>
      <c r="F51" s="43">
        <f>1- ROUND(G51,10)</f>
        <v>0.53</v>
      </c>
      <c r="G51" s="44">
        <v>0.47</v>
      </c>
      <c r="H51" s="46">
        <f>STORAGE!J24</f>
        <v>1350.825</v>
      </c>
      <c r="I51" s="48">
        <f>PHUAWEISERVICE1</f>
        <v>1</v>
      </c>
      <c r="J51" s="116">
        <f>STORAGE!O24</f>
        <v>715.94</v>
      </c>
      <c r="K51" s="116"/>
    </row>
    <row r="52" spans="1:11" x14ac:dyDescent="0.2">
      <c r="A52" t="s">
        <v>269</v>
      </c>
      <c r="C52" s="120" t="s">
        <v>270</v>
      </c>
      <c r="D52" s="120"/>
      <c r="E52" s="40" t="s">
        <v>39</v>
      </c>
      <c r="F52" s="42"/>
      <c r="G52" s="42"/>
      <c r="H52" s="45">
        <f>SUBTOTAL(9,H53:H55)</f>
        <v>34022.785000000003</v>
      </c>
      <c r="I52" s="47"/>
      <c r="J52" s="117">
        <f>SUBTOTAL(9,J53:J55)</f>
        <v>20626.629999999997</v>
      </c>
      <c r="K52" s="117"/>
    </row>
    <row r="53" spans="1:11" x14ac:dyDescent="0.2">
      <c r="A53" t="s">
        <v>271</v>
      </c>
      <c r="C53" s="119"/>
      <c r="D53" s="119"/>
      <c r="E53" s="41" t="s">
        <v>28</v>
      </c>
      <c r="F53" s="43">
        <f>1- ROUND(G53,10)</f>
        <v>0.54</v>
      </c>
      <c r="G53" s="44">
        <v>0.45999999999999996</v>
      </c>
      <c r="H53" s="46">
        <f>'SERV-05'!J13+'SERV-05'!J14+'SERV-05'!J15+'SERV-05'!J16+'SERV-05'!J18+'SERV-05'!J20+'SERV-05'!J22+'SERV-05'!J24+'SERV-04'!J13+'SERV-04'!J14+'SERV-04'!J15+'SERV-04'!J16+'SERV-04'!J18+'SERV-04'!J20+'SERV-04'!J22+'SERV-04'!J24+'SERV-03'!J13+'SERV-03'!J14+'SERV-03'!J15+'SERV-03'!J16+'SERV-03'!J18+'SERV-03'!J20+'SERV-03'!J22+'SERV-03'!J24+'SERV-02'!J13+'SERV-02'!J14+'SERV-02'!J15+'SERV-02'!J16+'SERV-02'!J18+'SERV-02'!J20+'SERV-02'!J22+'SERV-02'!J24+'SERV-01'!J13+'SERV-01'!J14+'SERV-01'!J15+'SERV-01'!J16+'SERV-01'!J18+'SERV-01'!J20+'SERV-01'!J22+'SERV-01'!J24</f>
        <v>26588</v>
      </c>
      <c r="I53" s="48">
        <f>PHUAWEIHW1</f>
        <v>1</v>
      </c>
      <c r="J53" s="116">
        <f>'SERV-05'!O13+'SERV-05'!O14+'SERV-05'!O15+'SERV-05'!O16+'SERV-05'!O18+'SERV-05'!O20+'SERV-05'!O22+'SERV-05'!O24+'SERV-04'!O13+'SERV-04'!O14+'SERV-04'!O15+'SERV-04'!O16+'SERV-04'!O18+'SERV-04'!O20+'SERV-04'!O22+'SERV-04'!O24+'SERV-03'!O13+'SERV-03'!O14+'SERV-03'!O15+'SERV-03'!O16+'SERV-03'!O18+'SERV-03'!O20+'SERV-03'!O22+'SERV-03'!O24+'SERV-02'!O13+'SERV-02'!O14+'SERV-02'!O15+'SERV-02'!O16+'SERV-02'!O18+'SERV-02'!O20+'SERV-02'!O22+'SERV-02'!O24+'SERV-01'!O13+'SERV-01'!O14+'SERV-01'!O15+'SERV-01'!O16+'SERV-01'!O18+'SERV-01'!O20+'SERV-01'!O22+'SERV-01'!O24</f>
        <v>14357.519999999999</v>
      </c>
      <c r="K53" s="116"/>
    </row>
    <row r="54" spans="1:11" x14ac:dyDescent="0.2">
      <c r="A54" t="s">
        <v>272</v>
      </c>
      <c r="C54" s="119"/>
      <c r="D54" s="119"/>
      <c r="E54" s="41" t="s">
        <v>29</v>
      </c>
      <c r="F54" s="43">
        <f>1- ROUND(G54,10)</f>
        <v>0.92</v>
      </c>
      <c r="G54" s="44">
        <v>7.999999999999996E-2</v>
      </c>
      <c r="H54" s="46">
        <f>'SERV-05'!J26+'SERV-05'!J29+'SERV-04'!J26+'SERV-04'!J29+'SERV-03'!J26+'SERV-03'!J29+'SERV-02'!J26+'SERV-02'!J29+'SERV-01'!J26+'SERV-01'!J29</f>
        <v>6293</v>
      </c>
      <c r="I54" s="48">
        <f>POUTSOURINGHW1</f>
        <v>1</v>
      </c>
      <c r="J54" s="116">
        <f>'SERV-05'!O26+'SERV-05'!O29+'SERV-04'!O26+'SERV-04'!O29+'SERV-03'!O26+'SERV-03'!O29+'SERV-02'!O26+'SERV-02'!O29+'SERV-01'!O26+'SERV-01'!O29</f>
        <v>5789.56</v>
      </c>
      <c r="K54" s="116"/>
    </row>
    <row r="55" spans="1:11" ht="24" x14ac:dyDescent="0.2">
      <c r="A55" t="s">
        <v>273</v>
      </c>
      <c r="C55" s="121"/>
      <c r="D55" s="121"/>
      <c r="E55" s="51" t="s">
        <v>40</v>
      </c>
      <c r="F55" s="52">
        <f>1- ROUND(G55,10)</f>
        <v>0.42000000000000004</v>
      </c>
      <c r="G55" s="53">
        <v>0.58000000000000007</v>
      </c>
      <c r="H55" s="54">
        <f>'SERV-05'!J31+'SERV-04'!J31+'SERV-03'!J31+'SERV-02'!J31+'SERV-01'!J31</f>
        <v>1141.7850000000001</v>
      </c>
      <c r="I55" s="55">
        <f>PHUAWEISERVICE1</f>
        <v>1</v>
      </c>
      <c r="J55" s="118">
        <f>'SERV-05'!O31+'SERV-04'!O31+'SERV-03'!O31+'SERV-02'!O31+'SERV-01'!O31</f>
        <v>479.54999999999995</v>
      </c>
      <c r="K55" s="118"/>
    </row>
  </sheetData>
  <mergeCells count="84">
    <mergeCell ref="C10:E10"/>
    <mergeCell ref="F10:G10"/>
    <mergeCell ref="C11:E11"/>
    <mergeCell ref="C12:E12"/>
    <mergeCell ref="C13:E13"/>
    <mergeCell ref="C14:E14"/>
    <mergeCell ref="C15:E15"/>
    <mergeCell ref="C16:E16"/>
    <mergeCell ref="F11:G11"/>
    <mergeCell ref="F12:G12"/>
    <mergeCell ref="F13:G13"/>
    <mergeCell ref="F14:G14"/>
    <mergeCell ref="F15:G15"/>
    <mergeCell ref="F16:G16"/>
    <mergeCell ref="C27:E27"/>
    <mergeCell ref="C19:E19"/>
    <mergeCell ref="F19:G19"/>
    <mergeCell ref="C20:E20"/>
    <mergeCell ref="C21:E21"/>
    <mergeCell ref="C22:E22"/>
    <mergeCell ref="C28:E28"/>
    <mergeCell ref="C29:E29"/>
    <mergeCell ref="F20:G20"/>
    <mergeCell ref="F21:G21"/>
    <mergeCell ref="F22:G22"/>
    <mergeCell ref="F23:G23"/>
    <mergeCell ref="F24:G24"/>
    <mergeCell ref="F25:G25"/>
    <mergeCell ref="F26:G26"/>
    <mergeCell ref="F27:G27"/>
    <mergeCell ref="F28:G28"/>
    <mergeCell ref="F29:G29"/>
    <mergeCell ref="C23:E23"/>
    <mergeCell ref="C24:E24"/>
    <mergeCell ref="C25:E25"/>
    <mergeCell ref="C26:E26"/>
    <mergeCell ref="C32:D32"/>
    <mergeCell ref="J32:K32"/>
    <mergeCell ref="C33:D33"/>
    <mergeCell ref="C34:D34"/>
    <mergeCell ref="C35:D35"/>
    <mergeCell ref="J33:K33"/>
    <mergeCell ref="J34:K34"/>
    <mergeCell ref="J35:K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J36:K36"/>
    <mergeCell ref="J37:K37"/>
    <mergeCell ref="J38:K38"/>
    <mergeCell ref="J39:K39"/>
    <mergeCell ref="J40:K40"/>
    <mergeCell ref="J41:K41"/>
    <mergeCell ref="J42:K42"/>
    <mergeCell ref="J43:K43"/>
    <mergeCell ref="J44:K44"/>
    <mergeCell ref="J45:K45"/>
    <mergeCell ref="J46:K46"/>
    <mergeCell ref="J47:K47"/>
    <mergeCell ref="J48:K48"/>
    <mergeCell ref="J49:K49"/>
    <mergeCell ref="J50:K50"/>
    <mergeCell ref="J51:K51"/>
    <mergeCell ref="J52:K52"/>
    <mergeCell ref="J53:K53"/>
    <mergeCell ref="J54:K54"/>
    <mergeCell ref="J55:K55"/>
  </mergeCells>
  <pageMargins left="0.51181102362204722" right="0.51181102362204722" top="0.51181102362204722" bottom="0.47244094488188981" header="7.874015748031496E-2" footer="0.196850393700787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28"/>
  <sheetViews>
    <sheetView topLeftCell="B2" workbookViewId="0">
      <selection activeCell="H11" sqref="H11"/>
    </sheetView>
  </sheetViews>
  <sheetFormatPr baseColWidth="10" defaultColWidth="9.140625" defaultRowHeight="12.75" outlineLevelRow="1" x14ac:dyDescent="0.2"/>
  <cols>
    <col min="1" max="1" width="1.85546875" style="1" hidden="1" customWidth="1"/>
    <col min="2" max="2" width="1.85546875" style="1" customWidth="1"/>
    <col min="3" max="3" width="7.7109375" style="1" customWidth="1"/>
    <col min="4" max="4" width="32.85546875" style="1" customWidth="1"/>
    <col min="5" max="5" width="6.5703125" style="1" customWidth="1"/>
    <col min="6" max="9" width="14.5703125" style="1" customWidth="1"/>
    <col min="10" max="16384" width="9.140625" style="1"/>
  </cols>
  <sheetData>
    <row r="1" spans="1:9" ht="12.75" hidden="1" customHeight="1" x14ac:dyDescent="0.2">
      <c r="C1" t="s">
        <v>221</v>
      </c>
      <c r="D1" t="s">
        <v>222</v>
      </c>
      <c r="E1" t="s">
        <v>274</v>
      </c>
      <c r="F1" t="s">
        <v>275</v>
      </c>
      <c r="G1" t="s">
        <v>276</v>
      </c>
      <c r="H1" t="s">
        <v>225</v>
      </c>
      <c r="I1" t="s">
        <v>227</v>
      </c>
    </row>
    <row r="2" spans="1:9" ht="12.75" customHeight="1" x14ac:dyDescent="0.2"/>
    <row r="3" spans="1:9" ht="12.75" customHeight="1" x14ac:dyDescent="0.2"/>
    <row r="4" spans="1:9" ht="12.75" customHeight="1" x14ac:dyDescent="0.2"/>
    <row r="5" spans="1:9" ht="12.75" customHeight="1" x14ac:dyDescent="0.2"/>
    <row r="6" spans="1:9" ht="12.75" customHeight="1" x14ac:dyDescent="0.2">
      <c r="C6" s="36"/>
      <c r="D6" s="36"/>
      <c r="E6" s="36"/>
      <c r="F6" s="36"/>
      <c r="G6" s="36"/>
      <c r="H6" s="36"/>
      <c r="I6" s="36"/>
    </row>
    <row r="7" spans="1:9" ht="12.75" customHeight="1" x14ac:dyDescent="0.2"/>
    <row r="8" spans="1:9" ht="12.75" customHeight="1" x14ac:dyDescent="0.2"/>
    <row r="9" spans="1:9" ht="24" customHeight="1" x14ac:dyDescent="0.2">
      <c r="C9" s="67" t="s">
        <v>22</v>
      </c>
      <c r="D9" s="67" t="s">
        <v>42</v>
      </c>
      <c r="E9" s="67" t="s">
        <v>70</v>
      </c>
      <c r="F9" s="67" t="str">
        <f>"List Price
("&amp;QF_SYS_LISTPRICECURRENCY&amp;")"</f>
        <v>List Price
(USD)</v>
      </c>
      <c r="G9" s="67" t="str">
        <f>IF(QuoteType="Embedded", "Unit Price
("&amp;QF_SYS_CURRENCY1&amp;IF(QF_SYS_TRADETERMDESC1="","",IF(QF_SYS_CURRENCY1="",""," "))&amp;QF_SYS_TRADETERMDESC1&amp;IF(QF_SYS_DESTINATION1="","",IF(QF_SYS_TRADETERMDESC1="",IF(QF_SYS_CURRENCY1="",""," ")," "))&amp;QF_SYS_DESTINATION1&amp;")","Unit Price
("&amp;QF_SYS_CURRENCY1&amp;")")</f>
        <v>Unit Price
(USD FCA Hongkong_China)</v>
      </c>
      <c r="H9" s="67" t="str">
        <f>"Total List Price
("&amp;QF_SYS_LISTPRICECURRENCY&amp;")"</f>
        <v>Total List Price
(USD)</v>
      </c>
      <c r="I9" s="67"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row>
    <row r="10" spans="1:9" x14ac:dyDescent="0.2">
      <c r="A10" t="s">
        <v>277</v>
      </c>
      <c r="C10" s="68" t="s">
        <v>246</v>
      </c>
      <c r="D10" s="70" t="s">
        <v>53</v>
      </c>
      <c r="E10" s="71"/>
      <c r="F10" s="74"/>
      <c r="G10" s="74"/>
      <c r="H10" s="74">
        <f>H11</f>
        <v>2929.88</v>
      </c>
      <c r="I10" s="76">
        <f>I11</f>
        <v>1375.8600000000004</v>
      </c>
    </row>
    <row r="11" spans="1:9" outlineLevel="1" x14ac:dyDescent="0.2">
      <c r="A11" t="s">
        <v>278</v>
      </c>
      <c r="C11" s="39"/>
      <c r="D11" s="58" t="s">
        <v>62</v>
      </c>
      <c r="E11" s="72">
        <v>1</v>
      </c>
      <c r="F11" s="46">
        <f>IFERROR(H11/E11,0)</f>
        <v>2929.88</v>
      </c>
      <c r="G11" s="46">
        <f>IFERROR(I11/E11,0)</f>
        <v>1375.8600000000004</v>
      </c>
      <c r="H11" s="46">
        <f>FIREWALL!I14*FIREWALL!H14+FIREWALL!I16*FIREWALL!H16+FIREWALL!I18*FIREWALL!H18+FIREWALL!I20*FIREWALL!H20+FIREWALL!I22*FIREWALL!H22</f>
        <v>2929.88</v>
      </c>
      <c r="I11" s="49">
        <f>FIREWALL!N14*FIREWALL!H14+FIREWALL!N16*FIREWALL!H16+FIREWALL!N18*FIREWALL!H18+FIREWALL!N20*FIREWALL!H20+FIREWALL!N22*FIREWALL!H22</f>
        <v>1375.8600000000004</v>
      </c>
    </row>
    <row r="12" spans="1:9" x14ac:dyDescent="0.2">
      <c r="A12" t="s">
        <v>279</v>
      </c>
      <c r="C12" s="68" t="s">
        <v>280</v>
      </c>
      <c r="D12" s="70" t="s">
        <v>54</v>
      </c>
      <c r="E12" s="71"/>
      <c r="F12" s="74"/>
      <c r="G12" s="74"/>
      <c r="H12" s="74">
        <f>H13</f>
        <v>1684.8</v>
      </c>
      <c r="I12" s="76">
        <f>I13</f>
        <v>450.84</v>
      </c>
    </row>
    <row r="13" spans="1:9" outlineLevel="1" x14ac:dyDescent="0.2">
      <c r="A13" t="s">
        <v>281</v>
      </c>
      <c r="C13" s="39"/>
      <c r="D13" s="58" t="s">
        <v>31</v>
      </c>
      <c r="E13" s="72">
        <v>1</v>
      </c>
      <c r="F13" s="46">
        <f>IFERROR(H13/E13,0)</f>
        <v>1684.8</v>
      </c>
      <c r="G13" s="46">
        <f>IFERROR(I13/E13,0)</f>
        <v>450.84</v>
      </c>
      <c r="H13" s="46">
        <f>ROUTER!I13*ROUTER!H13+ROUTER!I16*ROUTER!H16+ROUTER!I18*ROUTER!H18</f>
        <v>1684.8</v>
      </c>
      <c r="I13" s="49">
        <f>ROUTER!N13*ROUTER!H13+ROUTER!N16*ROUTER!H16+ROUTER!N18*ROUTER!H18</f>
        <v>450.84</v>
      </c>
    </row>
    <row r="14" spans="1:9" x14ac:dyDescent="0.2">
      <c r="A14" t="s">
        <v>282</v>
      </c>
      <c r="C14" s="68" t="s">
        <v>283</v>
      </c>
      <c r="D14" s="70" t="s">
        <v>55</v>
      </c>
      <c r="E14" s="71"/>
      <c r="F14" s="74"/>
      <c r="G14" s="74"/>
      <c r="H14" s="74">
        <f>H15</f>
        <v>6817.4</v>
      </c>
      <c r="I14" s="76">
        <f>I15</f>
        <v>1635.02</v>
      </c>
    </row>
    <row r="15" spans="1:9" outlineLevel="1" x14ac:dyDescent="0.2">
      <c r="A15" t="s">
        <v>284</v>
      </c>
      <c r="C15" s="39"/>
      <c r="D15" s="58" t="s">
        <v>63</v>
      </c>
      <c r="E15" s="72">
        <v>1</v>
      </c>
      <c r="F15" s="46">
        <f>IFERROR(H15/E15,0)</f>
        <v>6817.4</v>
      </c>
      <c r="G15" s="46">
        <f>IFERROR(I15/E15,0)</f>
        <v>1635.02</v>
      </c>
      <c r="H15" s="46">
        <f>'SWITCH 48P'!I14*'SWITCH 48P'!H14+'SWITCH 48P'!I16*'SWITCH 48P'!H16+'SWITCH 48P'!I18*'SWITCH 48P'!H18</f>
        <v>6817.4</v>
      </c>
      <c r="I15" s="49">
        <f>'SWITCH 48P'!N14*'SWITCH 48P'!H14+'SWITCH 48P'!N16*'SWITCH 48P'!H16+'SWITCH 48P'!N18*'SWITCH 48P'!H18</f>
        <v>1635.02</v>
      </c>
    </row>
    <row r="16" spans="1:9" x14ac:dyDescent="0.2">
      <c r="A16" t="s">
        <v>285</v>
      </c>
      <c r="C16" s="68" t="s">
        <v>286</v>
      </c>
      <c r="D16" s="70" t="s">
        <v>56</v>
      </c>
      <c r="E16" s="71"/>
      <c r="F16" s="74"/>
      <c r="G16" s="74"/>
      <c r="H16" s="74">
        <f>H17</f>
        <v>32066.105</v>
      </c>
      <c r="I16" s="76">
        <f>I17</f>
        <v>9429.2800000000007</v>
      </c>
    </row>
    <row r="17" spans="1:9" outlineLevel="1" x14ac:dyDescent="0.2">
      <c r="A17" t="s">
        <v>287</v>
      </c>
      <c r="C17" s="39"/>
      <c r="D17" s="58" t="s">
        <v>64</v>
      </c>
      <c r="E17" s="72">
        <v>1</v>
      </c>
      <c r="F17" s="46">
        <f>IFERROR(H17/E17,0)</f>
        <v>32066.105</v>
      </c>
      <c r="G17" s="46">
        <f>IFERROR(I17/E17,0)</f>
        <v>9429.2800000000007</v>
      </c>
      <c r="H17" s="46">
        <f>STORAGE!I13*STORAGE!H13+STORAGE!I15*STORAGE!H15+STORAGE!I17*STORAGE!H17+STORAGE!I19*STORAGE!H19+STORAGE!I22*STORAGE!H22+STORAGE!I24*STORAGE!H24+STORAGE!I25*STORAGE!H25</f>
        <v>32066.105</v>
      </c>
      <c r="I17" s="49">
        <f>STORAGE!N13*STORAGE!H13+STORAGE!N15*STORAGE!H15+STORAGE!N17*STORAGE!H17+STORAGE!N19*STORAGE!H19+STORAGE!N22*STORAGE!H22+STORAGE!N24*STORAGE!H24+STORAGE!N25*STORAGE!H25</f>
        <v>9429.2800000000007</v>
      </c>
    </row>
    <row r="18" spans="1:9" x14ac:dyDescent="0.2">
      <c r="A18" t="s">
        <v>288</v>
      </c>
      <c r="C18" s="68" t="s">
        <v>289</v>
      </c>
      <c r="D18" s="70" t="s">
        <v>57</v>
      </c>
      <c r="E18" s="71"/>
      <c r="F18" s="74"/>
      <c r="G18" s="74"/>
      <c r="H18" s="74">
        <f>H19</f>
        <v>7637.357</v>
      </c>
      <c r="I18" s="76">
        <f>I19</f>
        <v>5197.63</v>
      </c>
    </row>
    <row r="19" spans="1:9" outlineLevel="1" x14ac:dyDescent="0.2">
      <c r="A19" t="s">
        <v>290</v>
      </c>
      <c r="C19" s="39"/>
      <c r="D19" s="58" t="s">
        <v>65</v>
      </c>
      <c r="E19" s="72">
        <v>1</v>
      </c>
      <c r="F19" s="46">
        <f>IFERROR(H19/E19,0)</f>
        <v>7637.357</v>
      </c>
      <c r="G19" s="46">
        <f>IFERROR(I19/E19,0)</f>
        <v>5197.63</v>
      </c>
      <c r="H19" s="46">
        <f>'SERV-05'!I13*'SERV-05'!H13+'SERV-05'!I14*'SERV-05'!H14+'SERV-05'!I15*'SERV-05'!H15+'SERV-05'!I16*'SERV-05'!H16+'SERV-05'!I18*'SERV-05'!H18+'SERV-05'!I20*'SERV-05'!H20+'SERV-05'!I22*'SERV-05'!H22+'SERV-05'!I24*'SERV-05'!H24+'SERV-05'!I26*'SERV-05'!H26+'SERV-05'!I29*'SERV-05'!H29+'SERV-05'!I31*'SERV-05'!H31</f>
        <v>7637.357</v>
      </c>
      <c r="I19" s="49">
        <f>'SERV-05'!N13*'SERV-05'!H13+'SERV-05'!N14*'SERV-05'!H14+'SERV-05'!N15*'SERV-05'!H15+'SERV-05'!N16*'SERV-05'!H16+'SERV-05'!N18*'SERV-05'!H18+'SERV-05'!N20*'SERV-05'!H20+'SERV-05'!N22*'SERV-05'!H22+'SERV-05'!N24*'SERV-05'!H24+'SERV-05'!N26*'SERV-05'!H26+'SERV-05'!N29*'SERV-05'!H29+'SERV-05'!N31*'SERV-05'!H31</f>
        <v>5197.63</v>
      </c>
    </row>
    <row r="20" spans="1:9" x14ac:dyDescent="0.2">
      <c r="A20" t="s">
        <v>291</v>
      </c>
      <c r="C20" s="68" t="s">
        <v>292</v>
      </c>
      <c r="D20" s="70" t="s">
        <v>58</v>
      </c>
      <c r="E20" s="71"/>
      <c r="F20" s="74"/>
      <c r="G20" s="74"/>
      <c r="H20" s="74">
        <f>H21</f>
        <v>8884.357</v>
      </c>
      <c r="I20" s="76">
        <f>I21</f>
        <v>5092.7700000000004</v>
      </c>
    </row>
    <row r="21" spans="1:9" outlineLevel="1" x14ac:dyDescent="0.2">
      <c r="A21" t="s">
        <v>293</v>
      </c>
      <c r="C21" s="39"/>
      <c r="D21" s="58" t="s">
        <v>66</v>
      </c>
      <c r="E21" s="72">
        <v>1</v>
      </c>
      <c r="F21" s="46">
        <f>IFERROR(H21/E21,0)</f>
        <v>8884.357</v>
      </c>
      <c r="G21" s="46">
        <f>IFERROR(I21/E21,0)</f>
        <v>5092.7700000000004</v>
      </c>
      <c r="H21" s="46">
        <f>'SERV-04'!I13*'SERV-04'!H13+'SERV-04'!I14*'SERV-04'!H14+'SERV-04'!I15*'SERV-04'!H15+'SERV-04'!I16*'SERV-04'!H16+'SERV-04'!I18*'SERV-04'!H18+'SERV-04'!I20*'SERV-04'!H20+'SERV-04'!I22*'SERV-04'!H22+'SERV-04'!I24*'SERV-04'!H24+'SERV-04'!I26*'SERV-04'!H26+'SERV-04'!I29*'SERV-04'!H29+'SERV-04'!I31*'SERV-04'!H31</f>
        <v>8884.357</v>
      </c>
      <c r="I21" s="49">
        <f>'SERV-04'!N13*'SERV-04'!H13+'SERV-04'!N14*'SERV-04'!H14+'SERV-04'!N15*'SERV-04'!H15+'SERV-04'!N16*'SERV-04'!H16+'SERV-04'!N18*'SERV-04'!H18+'SERV-04'!N20*'SERV-04'!H20+'SERV-04'!N22*'SERV-04'!H22+'SERV-04'!N24*'SERV-04'!H24+'SERV-04'!N26*'SERV-04'!H26+'SERV-04'!N29*'SERV-04'!H29+'SERV-04'!N31*'SERV-04'!H31</f>
        <v>5092.7700000000004</v>
      </c>
    </row>
    <row r="22" spans="1:9" x14ac:dyDescent="0.2">
      <c r="A22" t="s">
        <v>294</v>
      </c>
      <c r="C22" s="68" t="s">
        <v>295</v>
      </c>
      <c r="D22" s="70" t="s">
        <v>59</v>
      </c>
      <c r="E22" s="71"/>
      <c r="F22" s="74"/>
      <c r="G22" s="74"/>
      <c r="H22" s="74">
        <f>H23</f>
        <v>6487.357</v>
      </c>
      <c r="I22" s="76">
        <f>I23</f>
        <v>3798.3900000000003</v>
      </c>
    </row>
    <row r="23" spans="1:9" outlineLevel="1" x14ac:dyDescent="0.2">
      <c r="A23" t="s">
        <v>296</v>
      </c>
      <c r="C23" s="39"/>
      <c r="D23" s="58" t="s">
        <v>67</v>
      </c>
      <c r="E23" s="72">
        <v>1</v>
      </c>
      <c r="F23" s="46">
        <f>IFERROR(H23/E23,0)</f>
        <v>6487.357</v>
      </c>
      <c r="G23" s="46">
        <f>IFERROR(I23/E23,0)</f>
        <v>3798.3900000000003</v>
      </c>
      <c r="H23" s="46">
        <f>'SERV-03'!I13*'SERV-03'!H13+'SERV-03'!I14*'SERV-03'!H14+'SERV-03'!I15*'SERV-03'!H15+'SERV-03'!I16*'SERV-03'!H16+'SERV-03'!I18*'SERV-03'!H18+'SERV-03'!I20*'SERV-03'!H20+'SERV-03'!I22*'SERV-03'!H22+'SERV-03'!I24*'SERV-03'!H24+'SERV-03'!I26*'SERV-03'!H26+'SERV-03'!I29*'SERV-03'!H29+'SERV-03'!I31*'SERV-03'!H31</f>
        <v>6487.357</v>
      </c>
      <c r="I23" s="49">
        <f>'SERV-03'!N13*'SERV-03'!H13+'SERV-03'!N14*'SERV-03'!H14+'SERV-03'!N15*'SERV-03'!H15+'SERV-03'!N16*'SERV-03'!H16+'SERV-03'!N18*'SERV-03'!H18+'SERV-03'!N20*'SERV-03'!H20+'SERV-03'!N22*'SERV-03'!H22+'SERV-03'!N24*'SERV-03'!H24+'SERV-03'!N26*'SERV-03'!H26+'SERV-03'!N29*'SERV-03'!H29+'SERV-03'!N31*'SERV-03'!H31</f>
        <v>3798.3900000000003</v>
      </c>
    </row>
    <row r="24" spans="1:9" x14ac:dyDescent="0.2">
      <c r="A24" t="s">
        <v>297</v>
      </c>
      <c r="C24" s="68" t="s">
        <v>298</v>
      </c>
      <c r="D24" s="70" t="s">
        <v>60</v>
      </c>
      <c r="E24" s="71"/>
      <c r="F24" s="74"/>
      <c r="G24" s="74"/>
      <c r="H24" s="74">
        <f>H25</f>
        <v>5606.357</v>
      </c>
      <c r="I24" s="76">
        <f>I25</f>
        <v>3322.6500000000005</v>
      </c>
    </row>
    <row r="25" spans="1:9" outlineLevel="1" x14ac:dyDescent="0.2">
      <c r="A25" t="s">
        <v>299</v>
      </c>
      <c r="C25" s="39"/>
      <c r="D25" s="58" t="s">
        <v>68</v>
      </c>
      <c r="E25" s="72">
        <v>1</v>
      </c>
      <c r="F25" s="46">
        <f>IFERROR(H25/E25,0)</f>
        <v>5606.357</v>
      </c>
      <c r="G25" s="46">
        <f>IFERROR(I25/E25,0)</f>
        <v>3322.6500000000005</v>
      </c>
      <c r="H25" s="46">
        <f>'SERV-02'!I13*'SERV-02'!H13+'SERV-02'!I14*'SERV-02'!H14+'SERV-02'!I15*'SERV-02'!H15+'SERV-02'!I16*'SERV-02'!H16+'SERV-02'!I18*'SERV-02'!H18+'SERV-02'!I20*'SERV-02'!H20+'SERV-02'!I22*'SERV-02'!H22+'SERV-02'!I24*'SERV-02'!H24+'SERV-02'!I26*'SERV-02'!H26+'SERV-02'!I29*'SERV-02'!H29+'SERV-02'!I31*'SERV-02'!H31</f>
        <v>5606.357</v>
      </c>
      <c r="I25" s="49">
        <f>'SERV-02'!N13*'SERV-02'!H13+'SERV-02'!N14*'SERV-02'!H14+'SERV-02'!N15*'SERV-02'!H15+'SERV-02'!N16*'SERV-02'!H16+'SERV-02'!N18*'SERV-02'!H18+'SERV-02'!N20*'SERV-02'!H20+'SERV-02'!N22*'SERV-02'!H22+'SERV-02'!N24*'SERV-02'!H24+'SERV-02'!N26*'SERV-02'!H26+'SERV-02'!N29*'SERV-02'!H29+'SERV-02'!N31*'SERV-02'!H31</f>
        <v>3322.6500000000005</v>
      </c>
    </row>
    <row r="26" spans="1:9" x14ac:dyDescent="0.2">
      <c r="A26" t="s">
        <v>300</v>
      </c>
      <c r="C26" s="68" t="s">
        <v>301</v>
      </c>
      <c r="D26" s="70" t="s">
        <v>61</v>
      </c>
      <c r="E26" s="71"/>
      <c r="F26" s="74"/>
      <c r="G26" s="74"/>
      <c r="H26" s="74">
        <f>H27</f>
        <v>5407.357</v>
      </c>
      <c r="I26" s="76">
        <f>I27</f>
        <v>3215.19</v>
      </c>
    </row>
    <row r="27" spans="1:9" outlineLevel="1" x14ac:dyDescent="0.2">
      <c r="A27" t="s">
        <v>302</v>
      </c>
      <c r="C27" s="39"/>
      <c r="D27" s="58" t="s">
        <v>39</v>
      </c>
      <c r="E27" s="72">
        <v>1</v>
      </c>
      <c r="F27" s="46">
        <f>IFERROR(H27/E27,0)</f>
        <v>5407.357</v>
      </c>
      <c r="G27" s="46">
        <f>IFERROR(I27/E27,0)</f>
        <v>3215.19</v>
      </c>
      <c r="H27" s="46">
        <f>'SERV-01'!I13*'SERV-01'!H13+'SERV-01'!I14*'SERV-01'!H14+'SERV-01'!I15*'SERV-01'!H15+'SERV-01'!I16*'SERV-01'!H16+'SERV-01'!I18*'SERV-01'!H18+'SERV-01'!I20*'SERV-01'!H20+'SERV-01'!I22*'SERV-01'!H22+'SERV-01'!I24*'SERV-01'!H24+'SERV-01'!I26*'SERV-01'!H26+'SERV-01'!I29*'SERV-01'!H29+'SERV-01'!I31*'SERV-01'!H31</f>
        <v>5407.357</v>
      </c>
      <c r="I27" s="49">
        <f>'SERV-01'!N13*'SERV-01'!H13+'SERV-01'!N14*'SERV-01'!H14+'SERV-01'!N15*'SERV-01'!H15+'SERV-01'!N16*'SERV-01'!H16+'SERV-01'!N18*'SERV-01'!H18+'SERV-01'!N20*'SERV-01'!H20+'SERV-01'!N22*'SERV-01'!H22+'SERV-01'!N24*'SERV-01'!H24+'SERV-01'!N26*'SERV-01'!H26+'SERV-01'!N29*'SERV-01'!H29+'SERV-01'!N31*'SERV-01'!H31</f>
        <v>3215.19</v>
      </c>
    </row>
    <row r="28" spans="1:9" x14ac:dyDescent="0.2">
      <c r="A28" t="s">
        <v>303</v>
      </c>
      <c r="C28" s="77"/>
      <c r="D28" s="63" t="s">
        <v>26</v>
      </c>
      <c r="E28" s="78"/>
      <c r="F28" s="79"/>
      <c r="G28" s="79"/>
      <c r="H28" s="79">
        <f>H10+H12+H14+H16+H18+H20+H22+H24+H26</f>
        <v>77520.970000000016</v>
      </c>
      <c r="I28" s="80">
        <f>I10+I12+I14+I16+I18+I20+I22+I24+I26</f>
        <v>33517.630000000005</v>
      </c>
    </row>
  </sheetData>
  <pageMargins left="0.51181102362204722" right="0.51181102362204722" top="0.51181102362204722" bottom="0.47244094488188981" header="7.874015748031496E-2" footer="0.19685039370078741"/>
  <ignoredErrors>
    <ignoredError sqref="H9:H10 H12 F11:G11 I9:I10 H14:H28 I14:I28 I13 H13 F13:G13 I12" unlockedFormula="1"/>
    <ignoredError sqref="I11 H11"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22"/>
  <sheetViews>
    <sheetView topLeftCell="B2" workbookViewId="0">
      <selection activeCell="D15" sqref="D15"/>
    </sheetView>
  </sheetViews>
  <sheetFormatPr baseColWidth="10" defaultColWidth="9.140625" defaultRowHeight="12.75" x14ac:dyDescent="0.2"/>
  <cols>
    <col min="1" max="1" width="1.85546875" style="1" hidden="1" customWidth="1"/>
    <col min="2" max="2" width="1.85546875" style="1" customWidth="1"/>
    <col min="3" max="3" width="14.42578125" style="1" customWidth="1"/>
    <col min="4" max="4" width="27.5703125" style="1" customWidth="1"/>
    <col min="5" max="11" width="17.140625" style="1" customWidth="1"/>
    <col min="12" max="16384" width="9.140625" style="1"/>
  </cols>
  <sheetData>
    <row r="1" spans="1:11" ht="12.75" hidden="1" customHeight="1" x14ac:dyDescent="0.2">
      <c r="C1" t="s">
        <v>304</v>
      </c>
      <c r="D1" t="s">
        <v>305</v>
      </c>
      <c r="E1" t="s">
        <v>306</v>
      </c>
      <c r="F1" t="s">
        <v>307</v>
      </c>
      <c r="G1" t="s">
        <v>308</v>
      </c>
      <c r="H1" t="s">
        <v>309</v>
      </c>
      <c r="I1" t="s">
        <v>310</v>
      </c>
      <c r="J1" t="s">
        <v>311</v>
      </c>
      <c r="K1" t="s">
        <v>312</v>
      </c>
    </row>
    <row r="2" spans="1:11" ht="12.75" customHeight="1" x14ac:dyDescent="0.2"/>
    <row r="3" spans="1:11" ht="12.75" customHeight="1" x14ac:dyDescent="0.2"/>
    <row r="4" spans="1:11" ht="12.75" customHeight="1" x14ac:dyDescent="0.2"/>
    <row r="5" spans="1:11" ht="12.75" customHeight="1" x14ac:dyDescent="0.2"/>
    <row r="6" spans="1:11" ht="12.75" customHeight="1" x14ac:dyDescent="0.2">
      <c r="C6" s="36"/>
      <c r="D6" s="36"/>
      <c r="E6" s="36"/>
      <c r="F6" s="36"/>
      <c r="G6" s="36"/>
      <c r="H6" s="36"/>
      <c r="I6" s="36"/>
      <c r="J6" s="36"/>
      <c r="K6" s="36"/>
    </row>
    <row r="7" spans="1:11" ht="12.75" customHeight="1" x14ac:dyDescent="0.2"/>
    <row r="8" spans="1:11" ht="12.75" customHeight="1" x14ac:dyDescent="0.2"/>
    <row r="9" spans="1:11" ht="30" customHeight="1" x14ac:dyDescent="0.2">
      <c r="A9" t="s">
        <v>313</v>
      </c>
      <c r="C9" s="122" t="s">
        <v>41</v>
      </c>
      <c r="D9" s="122" t="s">
        <v>42</v>
      </c>
      <c r="E9" s="56" t="s">
        <v>43</v>
      </c>
      <c r="F9" s="56"/>
      <c r="G9" s="56" t="s">
        <v>46</v>
      </c>
      <c r="H9" s="56"/>
      <c r="I9" s="56" t="s">
        <v>49</v>
      </c>
      <c r="J9" s="56"/>
      <c r="K9" s="56"/>
    </row>
    <row r="10" spans="1:11" ht="36" x14ac:dyDescent="0.2">
      <c r="C10" s="122"/>
      <c r="D10" s="122"/>
      <c r="E10" s="35" t="s">
        <v>44</v>
      </c>
      <c r="F10" s="35" t="s">
        <v>45</v>
      </c>
      <c r="G10" s="35" t="s">
        <v>47</v>
      </c>
      <c r="H10" s="35" t="s">
        <v>48</v>
      </c>
      <c r="I10" s="35" t="s">
        <v>50</v>
      </c>
      <c r="J10" s="35" t="s">
        <v>51</v>
      </c>
      <c r="K10" s="35" t="s">
        <v>52</v>
      </c>
    </row>
    <row r="11" spans="1:11" x14ac:dyDescent="0.2">
      <c r="A11" t="s">
        <v>314</v>
      </c>
      <c r="C11" s="57" t="s">
        <v>53</v>
      </c>
      <c r="D11" s="58" t="s">
        <v>62</v>
      </c>
      <c r="E11" s="59">
        <v>0.01</v>
      </c>
      <c r="F11" s="59">
        <v>0.19600000000000001</v>
      </c>
      <c r="G11" s="59">
        <v>13.157999999999999</v>
      </c>
      <c r="H11" s="59">
        <v>16.858000000000001</v>
      </c>
      <c r="I11" s="60">
        <v>57.6</v>
      </c>
      <c r="J11" s="60">
        <v>30.7</v>
      </c>
      <c r="K11" s="61">
        <v>21.1</v>
      </c>
    </row>
    <row r="12" spans="1:11" x14ac:dyDescent="0.2">
      <c r="A12" t="s">
        <v>315</v>
      </c>
      <c r="C12" s="57" t="s">
        <v>54</v>
      </c>
      <c r="D12" s="58" t="s">
        <v>31</v>
      </c>
      <c r="E12" s="59">
        <v>5.0000000000000001E-3</v>
      </c>
      <c r="F12" s="59">
        <v>3.1E-2</v>
      </c>
      <c r="G12" s="59">
        <v>3</v>
      </c>
      <c r="H12" s="59">
        <v>4.5999999999999996</v>
      </c>
      <c r="I12" s="60">
        <v>20.05</v>
      </c>
      <c r="J12" s="60">
        <v>18.559999999999999</v>
      </c>
      <c r="K12" s="61">
        <v>18.559999999999999</v>
      </c>
    </row>
    <row r="13" spans="1:11" x14ac:dyDescent="0.2">
      <c r="A13" t="s">
        <v>316</v>
      </c>
      <c r="C13" s="57" t="s">
        <v>55</v>
      </c>
      <c r="D13" s="58" t="s">
        <v>63</v>
      </c>
      <c r="E13" s="59">
        <v>8.9999999999999993E-3</v>
      </c>
      <c r="F13" s="59">
        <v>6.9000000000000006E-2</v>
      </c>
      <c r="G13" s="59">
        <v>10.6</v>
      </c>
      <c r="H13" s="59">
        <v>11.1</v>
      </c>
      <c r="I13" s="60">
        <v>94.8</v>
      </c>
      <c r="J13" s="60">
        <v>67.599999999999994</v>
      </c>
      <c r="K13" s="61">
        <v>67.599999999999994</v>
      </c>
    </row>
    <row r="14" spans="1:11" x14ac:dyDescent="0.2">
      <c r="A14" t="s">
        <v>317</v>
      </c>
      <c r="C14" s="57" t="s">
        <v>56</v>
      </c>
      <c r="D14" s="58" t="s">
        <v>64</v>
      </c>
      <c r="E14" s="59">
        <v>2.1000000000000001E-2</v>
      </c>
      <c r="F14" s="59">
        <v>0.17599999999999999</v>
      </c>
      <c r="G14" s="59">
        <v>28.09</v>
      </c>
      <c r="H14" s="59">
        <v>36.590000000000003</v>
      </c>
      <c r="I14" s="60">
        <v>292.89999999999998</v>
      </c>
      <c r="J14" s="60">
        <v>220.6</v>
      </c>
      <c r="K14" s="61">
        <v>188.9</v>
      </c>
    </row>
    <row r="15" spans="1:11" x14ac:dyDescent="0.2">
      <c r="A15" t="s">
        <v>318</v>
      </c>
      <c r="C15" s="57" t="s">
        <v>57</v>
      </c>
      <c r="D15" s="58" t="s">
        <v>65</v>
      </c>
      <c r="E15" s="59">
        <v>1.2999999999999999E-2</v>
      </c>
      <c r="F15" s="59">
        <v>0.13100000000000001</v>
      </c>
      <c r="G15" s="59">
        <v>14.88</v>
      </c>
      <c r="H15" s="59">
        <v>19.48</v>
      </c>
      <c r="I15" s="60">
        <v>174.5</v>
      </c>
      <c r="J15" s="60">
        <v>117.5</v>
      </c>
      <c r="K15" s="61">
        <v>65.5</v>
      </c>
    </row>
    <row r="16" spans="1:11" x14ac:dyDescent="0.2">
      <c r="A16" t="s">
        <v>319</v>
      </c>
      <c r="C16" s="57" t="s">
        <v>58</v>
      </c>
      <c r="D16" s="58" t="s">
        <v>66</v>
      </c>
      <c r="E16" s="59">
        <v>1.2999999999999999E-2</v>
      </c>
      <c r="F16" s="59">
        <v>0.13100000000000001</v>
      </c>
      <c r="G16" s="59">
        <v>15.15</v>
      </c>
      <c r="H16" s="59">
        <v>19.75</v>
      </c>
      <c r="I16" s="60">
        <v>247.5</v>
      </c>
      <c r="J16" s="60">
        <v>170.5</v>
      </c>
      <c r="K16" s="61">
        <v>86.5</v>
      </c>
    </row>
    <row r="17" spans="1:11" x14ac:dyDescent="0.2">
      <c r="A17" t="s">
        <v>320</v>
      </c>
      <c r="C17" s="57" t="s">
        <v>59</v>
      </c>
      <c r="D17" s="58" t="s">
        <v>67</v>
      </c>
      <c r="E17" s="59">
        <v>1.2999999999999999E-2</v>
      </c>
      <c r="F17" s="59">
        <v>0.13100000000000001</v>
      </c>
      <c r="G17" s="59">
        <v>14.88</v>
      </c>
      <c r="H17" s="59">
        <v>19.48</v>
      </c>
      <c r="I17" s="60">
        <v>216.5</v>
      </c>
      <c r="J17" s="60">
        <v>145.5</v>
      </c>
      <c r="K17" s="61">
        <v>73.5</v>
      </c>
    </row>
    <row r="18" spans="1:11" x14ac:dyDescent="0.2">
      <c r="A18" t="s">
        <v>321</v>
      </c>
      <c r="C18" s="57" t="s">
        <v>60</v>
      </c>
      <c r="D18" s="58" t="s">
        <v>68</v>
      </c>
      <c r="E18" s="59">
        <v>1.2999999999999999E-2</v>
      </c>
      <c r="F18" s="59">
        <v>0.13100000000000001</v>
      </c>
      <c r="G18" s="59">
        <v>14.88</v>
      </c>
      <c r="H18" s="59">
        <v>19.48</v>
      </c>
      <c r="I18" s="60">
        <v>167.5</v>
      </c>
      <c r="J18" s="60">
        <v>120.5</v>
      </c>
      <c r="K18" s="61">
        <v>74.5</v>
      </c>
    </row>
    <row r="19" spans="1:11" x14ac:dyDescent="0.2">
      <c r="A19" t="s">
        <v>322</v>
      </c>
      <c r="C19" s="57" t="s">
        <v>61</v>
      </c>
      <c r="D19" s="58" t="s">
        <v>39</v>
      </c>
      <c r="E19" s="59">
        <v>1.2999999999999999E-2</v>
      </c>
      <c r="F19" s="59">
        <v>0.13100000000000001</v>
      </c>
      <c r="G19" s="59">
        <v>14.88</v>
      </c>
      <c r="H19" s="59">
        <v>19.48</v>
      </c>
      <c r="I19" s="60">
        <v>184.5</v>
      </c>
      <c r="J19" s="60">
        <v>127.5</v>
      </c>
      <c r="K19" s="61">
        <v>73.5</v>
      </c>
    </row>
    <row r="20" spans="1:11" x14ac:dyDescent="0.2">
      <c r="A20" t="s">
        <v>323</v>
      </c>
      <c r="C20" s="62"/>
      <c r="D20" s="63" t="s">
        <v>69</v>
      </c>
      <c r="E20" s="64">
        <f t="shared" ref="E20:K20" si="0">E11+E12+E13+E14+E15+E16+E17+E18+E19</f>
        <v>0.10999999999999999</v>
      </c>
      <c r="F20" s="64">
        <f t="shared" si="0"/>
        <v>1.127</v>
      </c>
      <c r="G20" s="64">
        <f t="shared" si="0"/>
        <v>129.518</v>
      </c>
      <c r="H20" s="64">
        <f t="shared" si="0"/>
        <v>166.81799999999998</v>
      </c>
      <c r="I20" s="65">
        <f t="shared" si="0"/>
        <v>1455.85</v>
      </c>
      <c r="J20" s="65">
        <f t="shared" si="0"/>
        <v>1018.96</v>
      </c>
      <c r="K20" s="66">
        <f t="shared" si="0"/>
        <v>669.66</v>
      </c>
    </row>
    <row r="22" spans="1:11" x14ac:dyDescent="0.2">
      <c r="C22" t="s">
        <v>324</v>
      </c>
    </row>
  </sheetData>
  <mergeCells count="2">
    <mergeCell ref="C9:C10"/>
    <mergeCell ref="D9:D10"/>
  </mergeCells>
  <pageMargins left="0.51181102362204722" right="0.51181102362204722" top="0.51181102362204722" bottom="0.47244094488188981" header="7.874015748031496E-2" footer="0.196850393700787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22"/>
  <sheetViews>
    <sheetView topLeftCell="B2" zoomScale="85" zoomScaleNormal="85" workbookViewId="0">
      <selection activeCell="F14" sqref="D14:F18"/>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332</v>
      </c>
      <c r="C10" s="38"/>
      <c r="D10" s="131" t="s">
        <v>62</v>
      </c>
      <c r="E10" s="131"/>
      <c r="F10" s="132"/>
      <c r="G10" s="85"/>
      <c r="H10" s="87"/>
      <c r="I10" s="45"/>
      <c r="J10" s="45"/>
      <c r="K10" s="93"/>
      <c r="L10" s="93"/>
      <c r="M10" s="47"/>
      <c r="N10" s="45"/>
      <c r="O10" s="45"/>
      <c r="P10" s="101"/>
      <c r="Q10" s="106"/>
    </row>
    <row r="11" spans="1:17" x14ac:dyDescent="0.2">
      <c r="A11" t="s">
        <v>333</v>
      </c>
      <c r="C11" s="69" t="s">
        <v>246</v>
      </c>
      <c r="D11" s="133" t="s">
        <v>77</v>
      </c>
      <c r="E11" s="133"/>
      <c r="F11" s="134"/>
      <c r="G11" s="73"/>
      <c r="H11" s="88">
        <v>1</v>
      </c>
      <c r="I11" s="75">
        <f>IF(OR(H11="",J11=""),"",J11/IF(H11=0,1,H11))</f>
        <v>2929.88</v>
      </c>
      <c r="J11" s="75">
        <f>J12+J17+J19+J21</f>
        <v>2929.88</v>
      </c>
      <c r="K11" s="94"/>
      <c r="L11" s="94"/>
      <c r="M11" s="98"/>
      <c r="N11" s="75">
        <f>IF(OR(H11="",O11=""),"",O11/IF(H11=0,1,H11))</f>
        <v>1375.8600000000004</v>
      </c>
      <c r="O11" s="75">
        <f>O12+O17+O19+O21</f>
        <v>1375.8600000000004</v>
      </c>
      <c r="P11" s="102"/>
      <c r="Q11" s="106"/>
    </row>
    <row r="12" spans="1:17" outlineLevel="1" x14ac:dyDescent="0.2">
      <c r="A12" t="s">
        <v>334</v>
      </c>
      <c r="C12" s="68" t="s">
        <v>248</v>
      </c>
      <c r="D12" s="129" t="s">
        <v>35</v>
      </c>
      <c r="E12" s="129"/>
      <c r="F12" s="130"/>
      <c r="G12" s="71"/>
      <c r="H12" s="89"/>
      <c r="I12" s="74"/>
      <c r="J12" s="74">
        <f>SUBTOTAL(9,J14:J16)</f>
        <v>2586</v>
      </c>
      <c r="K12" s="95"/>
      <c r="L12" s="95"/>
      <c r="M12" s="99"/>
      <c r="N12" s="74"/>
      <c r="O12" s="74">
        <f>SUBTOTAL(9,O14:O16)</f>
        <v>1180.3200000000002</v>
      </c>
      <c r="P12" s="103"/>
      <c r="Q12" s="106"/>
    </row>
    <row r="13" spans="1:17" outlineLevel="2" x14ac:dyDescent="0.2">
      <c r="A13" t="s">
        <v>335</v>
      </c>
      <c r="C13" s="82" t="s">
        <v>336</v>
      </c>
      <c r="D13" s="135" t="s">
        <v>78</v>
      </c>
      <c r="E13" s="135"/>
      <c r="F13" s="136"/>
      <c r="G13" s="86"/>
      <c r="H13" s="90"/>
      <c r="I13" s="92"/>
      <c r="J13" s="92">
        <f>SUBTOTAL(9,J14:J14)</f>
        <v>2220</v>
      </c>
      <c r="K13" s="96"/>
      <c r="L13" s="96"/>
      <c r="M13" s="100"/>
      <c r="N13" s="92"/>
      <c r="O13" s="92">
        <f>SUBTOTAL(9,O14:O14)</f>
        <v>843.6</v>
      </c>
      <c r="P13" s="104"/>
      <c r="Q13" s="106"/>
    </row>
    <row r="14" spans="1:17" ht="48" outlineLevel="3" x14ac:dyDescent="0.2">
      <c r="A14" t="s">
        <v>337</v>
      </c>
      <c r="C14" s="39"/>
      <c r="D14" s="84" t="s">
        <v>79</v>
      </c>
      <c r="E14" s="58" t="s">
        <v>88</v>
      </c>
      <c r="F14" s="58" t="s">
        <v>93</v>
      </c>
      <c r="G14" s="72">
        <v>1</v>
      </c>
      <c r="H14" s="91">
        <f>G14*H11</f>
        <v>1</v>
      </c>
      <c r="I14" s="46">
        <v>2220</v>
      </c>
      <c r="J14" s="46">
        <f>I14*H14</f>
        <v>2220</v>
      </c>
      <c r="K14" s="97">
        <f>ROUND(Discount!F35,10)</f>
        <v>0.38</v>
      </c>
      <c r="L14" s="97">
        <f>1-ROUND(Discount!F35,10)</f>
        <v>0.62</v>
      </c>
      <c r="M14" s="48">
        <f>PHUAWEIHW1</f>
        <v>1</v>
      </c>
      <c r="N14" s="46">
        <f>ROUND(I14*QF_SYS_EXCHANGE1*Discount!F35*PHUAWEIHW1,2)</f>
        <v>843.6</v>
      </c>
      <c r="O14" s="46">
        <f>N14*H14</f>
        <v>843.6</v>
      </c>
      <c r="P14" s="105" t="s">
        <v>28</v>
      </c>
      <c r="Q14" s="106"/>
    </row>
    <row r="15" spans="1:17" outlineLevel="2" x14ac:dyDescent="0.2">
      <c r="A15" t="s">
        <v>338</v>
      </c>
      <c r="C15" s="82" t="s">
        <v>339</v>
      </c>
      <c r="D15" s="135" t="s">
        <v>80</v>
      </c>
      <c r="E15" s="135"/>
      <c r="F15" s="136"/>
      <c r="G15" s="86"/>
      <c r="H15" s="90"/>
      <c r="I15" s="92"/>
      <c r="J15" s="92">
        <f>SUBTOTAL(9,J16:J16)</f>
        <v>366</v>
      </c>
      <c r="K15" s="96"/>
      <c r="L15" s="96"/>
      <c r="M15" s="100"/>
      <c r="N15" s="92"/>
      <c r="O15" s="92">
        <f>SUBTOTAL(9,O16:O16)</f>
        <v>336.72</v>
      </c>
      <c r="P15" s="104"/>
      <c r="Q15" s="106"/>
    </row>
    <row r="16" spans="1:17" ht="24" outlineLevel="3" x14ac:dyDescent="0.2">
      <c r="A16" t="s">
        <v>340</v>
      </c>
      <c r="C16" s="39"/>
      <c r="D16" s="84" t="s">
        <v>81</v>
      </c>
      <c r="E16" s="58" t="s">
        <v>89</v>
      </c>
      <c r="F16" s="58" t="s">
        <v>94</v>
      </c>
      <c r="G16" s="72">
        <v>1</v>
      </c>
      <c r="H16" s="91">
        <f>G16*H11</f>
        <v>1</v>
      </c>
      <c r="I16" s="46">
        <v>366</v>
      </c>
      <c r="J16" s="46">
        <f>I16*H16</f>
        <v>366</v>
      </c>
      <c r="K16" s="97">
        <f>ROUND(Discount!F36,10)</f>
        <v>0.92</v>
      </c>
      <c r="L16" s="97">
        <f>1-ROUND(Discount!F36,10)</f>
        <v>7.999999999999996E-2</v>
      </c>
      <c r="M16" s="48">
        <f>POUTSOURINGHW1</f>
        <v>1</v>
      </c>
      <c r="N16" s="46">
        <f>ROUND(I16*QF_SYS_EXCHANGE1*Discount!F36*POUTSOURINGHW1,2)</f>
        <v>336.72</v>
      </c>
      <c r="O16" s="46">
        <f>N16*H16</f>
        <v>336.72</v>
      </c>
      <c r="P16" s="105" t="s">
        <v>29</v>
      </c>
      <c r="Q16" s="106"/>
    </row>
    <row r="17" spans="1:17" outlineLevel="1" x14ac:dyDescent="0.2">
      <c r="A17" t="s">
        <v>341</v>
      </c>
      <c r="C17" s="68" t="s">
        <v>253</v>
      </c>
      <c r="D17" s="129" t="s">
        <v>82</v>
      </c>
      <c r="E17" s="129"/>
      <c r="F17" s="130"/>
      <c r="G17" s="71"/>
      <c r="H17" s="89"/>
      <c r="I17" s="74"/>
      <c r="J17" s="74">
        <f>SUBTOTAL(9,J18:J18)</f>
        <v>120</v>
      </c>
      <c r="K17" s="95"/>
      <c r="L17" s="95"/>
      <c r="M17" s="99"/>
      <c r="N17" s="74"/>
      <c r="O17" s="74">
        <f>SUBTOTAL(9,O18:O18)</f>
        <v>110.4</v>
      </c>
      <c r="P17" s="103"/>
      <c r="Q17" s="106"/>
    </row>
    <row r="18" spans="1:17" outlineLevel="2" x14ac:dyDescent="0.2">
      <c r="A18" t="s">
        <v>342</v>
      </c>
      <c r="C18" s="39"/>
      <c r="D18" s="84" t="s">
        <v>83</v>
      </c>
      <c r="E18" s="58" t="s">
        <v>90</v>
      </c>
      <c r="F18" s="58" t="s">
        <v>95</v>
      </c>
      <c r="G18" s="72">
        <v>1</v>
      </c>
      <c r="H18" s="91">
        <f>G18*H11</f>
        <v>1</v>
      </c>
      <c r="I18" s="46">
        <v>120</v>
      </c>
      <c r="J18" s="46">
        <f>I18*H18</f>
        <v>120</v>
      </c>
      <c r="K18" s="97">
        <f>ROUND(Discount!F36,10)</f>
        <v>0.92</v>
      </c>
      <c r="L18" s="97">
        <f>1-ROUND(Discount!F36,10)</f>
        <v>7.999999999999996E-2</v>
      </c>
      <c r="M18" s="48">
        <f>POUTSOURINGHW1</f>
        <v>1</v>
      </c>
      <c r="N18" s="46">
        <f>ROUND(I18*QF_SYS_EXCHANGE1*Discount!F36*POUTSOURINGHW1,2)</f>
        <v>110.4</v>
      </c>
      <c r="O18" s="46">
        <f>N18*H18</f>
        <v>110.4</v>
      </c>
      <c r="P18" s="105" t="s">
        <v>29</v>
      </c>
      <c r="Q18" s="106"/>
    </row>
    <row r="19" spans="1:17" outlineLevel="1" x14ac:dyDescent="0.2">
      <c r="A19" t="s">
        <v>343</v>
      </c>
      <c r="C19" s="68" t="s">
        <v>258</v>
      </c>
      <c r="D19" s="129" t="s">
        <v>84</v>
      </c>
      <c r="E19" s="129"/>
      <c r="F19" s="130"/>
      <c r="G19" s="71"/>
      <c r="H19" s="89"/>
      <c r="I19" s="74"/>
      <c r="J19" s="74">
        <f>SUBTOTAL(9,J20:J20)</f>
        <v>29</v>
      </c>
      <c r="K19" s="95"/>
      <c r="L19" s="95"/>
      <c r="M19" s="99"/>
      <c r="N19" s="74"/>
      <c r="O19" s="74">
        <f>SUBTOTAL(9,O20:O20)</f>
        <v>26.68</v>
      </c>
      <c r="P19" s="103"/>
      <c r="Q19" s="106"/>
    </row>
    <row r="20" spans="1:17" outlineLevel="2" x14ac:dyDescent="0.2">
      <c r="A20" t="s">
        <v>344</v>
      </c>
      <c r="C20" s="39"/>
      <c r="D20" s="84" t="s">
        <v>85</v>
      </c>
      <c r="E20" s="58" t="s">
        <v>91</v>
      </c>
      <c r="F20" s="58" t="s">
        <v>96</v>
      </c>
      <c r="G20" s="72">
        <v>1</v>
      </c>
      <c r="H20" s="91">
        <f>G20*H11</f>
        <v>1</v>
      </c>
      <c r="I20" s="46">
        <v>29</v>
      </c>
      <c r="J20" s="46">
        <f>I20*H20</f>
        <v>29</v>
      </c>
      <c r="K20" s="97">
        <f>ROUND(Discount!F36,10)</f>
        <v>0.92</v>
      </c>
      <c r="L20" s="97">
        <f>1-ROUND(Discount!F36,10)</f>
        <v>7.999999999999996E-2</v>
      </c>
      <c r="M20" s="48">
        <f>POUTSOURINGHW1</f>
        <v>1</v>
      </c>
      <c r="N20" s="46">
        <f>ROUND(I20*QF_SYS_EXCHANGE1*Discount!F36*POUTSOURINGHW1,2)</f>
        <v>26.68</v>
      </c>
      <c r="O20" s="46">
        <f>N20*H20</f>
        <v>26.68</v>
      </c>
      <c r="P20" s="105" t="s">
        <v>29</v>
      </c>
      <c r="Q20" s="106"/>
    </row>
    <row r="21" spans="1:17" outlineLevel="1" x14ac:dyDescent="0.2">
      <c r="A21" t="s">
        <v>345</v>
      </c>
      <c r="C21" s="68" t="s">
        <v>263</v>
      </c>
      <c r="D21" s="129" t="s">
        <v>86</v>
      </c>
      <c r="E21" s="129"/>
      <c r="F21" s="130"/>
      <c r="G21" s="71"/>
      <c r="H21" s="89"/>
      <c r="I21" s="74"/>
      <c r="J21" s="74">
        <f>SUBTOTAL(9,J22:J22)</f>
        <v>194.88</v>
      </c>
      <c r="K21" s="95"/>
      <c r="L21" s="95"/>
      <c r="M21" s="99"/>
      <c r="N21" s="74"/>
      <c r="O21" s="74">
        <f>SUBTOTAL(9,O22:O22)</f>
        <v>58.46</v>
      </c>
      <c r="P21" s="103"/>
      <c r="Q21" s="106"/>
    </row>
    <row r="22" spans="1:17" ht="36" outlineLevel="2" x14ac:dyDescent="0.2">
      <c r="A22" t="s">
        <v>346</v>
      </c>
      <c r="C22" s="50"/>
      <c r="D22" s="107" t="s">
        <v>87</v>
      </c>
      <c r="E22" s="108" t="s">
        <v>92</v>
      </c>
      <c r="F22" s="108" t="s">
        <v>97</v>
      </c>
      <c r="G22" s="109">
        <v>1</v>
      </c>
      <c r="H22" s="110">
        <f>G22*H11</f>
        <v>1</v>
      </c>
      <c r="I22" s="54">
        <v>194.88</v>
      </c>
      <c r="J22" s="54">
        <f>I22*H22</f>
        <v>194.88</v>
      </c>
      <c r="K22" s="111">
        <f>ROUND(Discount!F37,10)</f>
        <v>0.3</v>
      </c>
      <c r="L22" s="111">
        <f>1-ROUND(Discount!F37,10)</f>
        <v>0.7</v>
      </c>
      <c r="M22" s="55">
        <f>PHUAWEISERVICE1</f>
        <v>1</v>
      </c>
      <c r="N22" s="54">
        <f>ROUND(I22*QF_SYS_EXCHANGE1*Discount!F37*PHUAWEISERVICE1,2)</f>
        <v>58.46</v>
      </c>
      <c r="O22" s="54">
        <f>N22*H22</f>
        <v>58.46</v>
      </c>
      <c r="P22" s="112" t="s">
        <v>30</v>
      </c>
      <c r="Q22" s="106"/>
    </row>
  </sheetData>
  <mergeCells count="8">
    <mergeCell ref="D17:F17"/>
    <mergeCell ref="D19:F19"/>
    <mergeCell ref="D21:F21"/>
    <mergeCell ref="D10:F10"/>
    <mergeCell ref="D11:F11"/>
    <mergeCell ref="D12:F12"/>
    <mergeCell ref="D13:F13"/>
    <mergeCell ref="D15:F15"/>
  </mergeCells>
  <pageMargins left="0.51181102362204722" right="0.51181102362204722" top="0.51181102362204722" bottom="0.47244094488188981" header="7.874015748031496E-2" footer="0.19685039370078741"/>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8"/>
  <sheetViews>
    <sheetView topLeftCell="B2" workbookViewId="0">
      <selection activeCell="F18" sqref="F18"/>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347</v>
      </c>
      <c r="C10" s="38"/>
      <c r="D10" s="131" t="s">
        <v>31</v>
      </c>
      <c r="E10" s="131"/>
      <c r="F10" s="132"/>
      <c r="G10" s="85"/>
      <c r="H10" s="87"/>
      <c r="I10" s="45"/>
      <c r="J10" s="45"/>
      <c r="K10" s="93"/>
      <c r="L10" s="93"/>
      <c r="M10" s="47"/>
      <c r="N10" s="45"/>
      <c r="O10" s="45"/>
      <c r="P10" s="101"/>
      <c r="Q10" s="106"/>
    </row>
    <row r="11" spans="1:17" x14ac:dyDescent="0.2">
      <c r="A11" t="s">
        <v>348</v>
      </c>
      <c r="C11" s="69" t="s">
        <v>280</v>
      </c>
      <c r="D11" s="133" t="s">
        <v>98</v>
      </c>
      <c r="E11" s="133"/>
      <c r="F11" s="134"/>
      <c r="G11" s="73"/>
      <c r="H11" s="88">
        <v>1</v>
      </c>
      <c r="I11" s="75">
        <f>IF(OR(H11="",J11=""),"",J11/IF(H11=0,1,H11))</f>
        <v>1684.8</v>
      </c>
      <c r="J11" s="75">
        <f>J12+J14+J17</f>
        <v>1684.8</v>
      </c>
      <c r="K11" s="94"/>
      <c r="L11" s="94"/>
      <c r="M11" s="98"/>
      <c r="N11" s="75">
        <f>IF(OR(H11="",O11=""),"",O11/IF(H11=0,1,H11))</f>
        <v>450.84</v>
      </c>
      <c r="O11" s="75">
        <f>O12+O14+O17</f>
        <v>450.84</v>
      </c>
      <c r="P11" s="102"/>
      <c r="Q11" s="106"/>
    </row>
    <row r="12" spans="1:17" outlineLevel="1" x14ac:dyDescent="0.2">
      <c r="A12" t="s">
        <v>349</v>
      </c>
      <c r="C12" s="68" t="s">
        <v>350</v>
      </c>
      <c r="D12" s="129" t="s">
        <v>78</v>
      </c>
      <c r="E12" s="129"/>
      <c r="F12" s="130"/>
      <c r="G12" s="71"/>
      <c r="H12" s="89"/>
      <c r="I12" s="74"/>
      <c r="J12" s="74">
        <f>SUBTOTAL(9,J13:J13)</f>
        <v>1520</v>
      </c>
      <c r="K12" s="95"/>
      <c r="L12" s="95"/>
      <c r="M12" s="99"/>
      <c r="N12" s="74"/>
      <c r="O12" s="74">
        <f>SUBTOTAL(9,O13:O13)</f>
        <v>395.2</v>
      </c>
      <c r="P12" s="103"/>
      <c r="Q12" s="106"/>
    </row>
    <row r="13" spans="1:17" ht="24" outlineLevel="2" x14ac:dyDescent="0.2">
      <c r="A13" t="s">
        <v>351</v>
      </c>
      <c r="C13" s="39"/>
      <c r="D13" s="84" t="s">
        <v>99</v>
      </c>
      <c r="E13" s="58" t="s">
        <v>31</v>
      </c>
      <c r="F13" s="58" t="s">
        <v>104</v>
      </c>
      <c r="G13" s="72">
        <v>1</v>
      </c>
      <c r="H13" s="91">
        <f>G13*H11</f>
        <v>1</v>
      </c>
      <c r="I13" s="46">
        <v>1520</v>
      </c>
      <c r="J13" s="46">
        <f>I13*H13</f>
        <v>1520</v>
      </c>
      <c r="K13" s="97">
        <f>ROUND(Discount!F39,10)</f>
        <v>0.26</v>
      </c>
      <c r="L13" s="97">
        <f>1-ROUND(Discount!F39,10)</f>
        <v>0.74</v>
      </c>
      <c r="M13" s="48">
        <f>PHUAWEIHW1</f>
        <v>1</v>
      </c>
      <c r="N13" s="46">
        <f>ROUND(I13*QF_SYS_EXCHANGE1*Discount!F39*PHUAWEIHW1,2)</f>
        <v>395.2</v>
      </c>
      <c r="O13" s="46">
        <f>N13*H13</f>
        <v>395.2</v>
      </c>
      <c r="P13" s="105" t="s">
        <v>28</v>
      </c>
      <c r="Q13" s="106"/>
    </row>
    <row r="14" spans="1:17" outlineLevel="1" x14ac:dyDescent="0.2">
      <c r="A14" t="s">
        <v>352</v>
      </c>
      <c r="C14" s="68" t="s">
        <v>353</v>
      </c>
      <c r="D14" s="129" t="s">
        <v>84</v>
      </c>
      <c r="E14" s="129"/>
      <c r="F14" s="130"/>
      <c r="G14" s="71"/>
      <c r="H14" s="89"/>
      <c r="I14" s="74"/>
      <c r="J14" s="74">
        <f>SUBTOTAL(9,J16:J16)</f>
        <v>10</v>
      </c>
      <c r="K14" s="95"/>
      <c r="L14" s="95"/>
      <c r="M14" s="99"/>
      <c r="N14" s="74"/>
      <c r="O14" s="74">
        <f>SUBTOTAL(9,O16:O16)</f>
        <v>9.1999999999999993</v>
      </c>
      <c r="P14" s="103"/>
      <c r="Q14" s="106"/>
    </row>
    <row r="15" spans="1:17" outlineLevel="2" x14ac:dyDescent="0.2">
      <c r="A15" t="s">
        <v>354</v>
      </c>
      <c r="C15" s="82" t="s">
        <v>355</v>
      </c>
      <c r="D15" s="135" t="s">
        <v>100</v>
      </c>
      <c r="E15" s="135"/>
      <c r="F15" s="136"/>
      <c r="G15" s="86"/>
      <c r="H15" s="90"/>
      <c r="I15" s="92"/>
      <c r="J15" s="92">
        <f>SUBTOTAL(9,J16:J16)</f>
        <v>10</v>
      </c>
      <c r="K15" s="96"/>
      <c r="L15" s="96"/>
      <c r="M15" s="100"/>
      <c r="N15" s="92"/>
      <c r="O15" s="92">
        <f>SUBTOTAL(9,O16:O16)</f>
        <v>9.1999999999999993</v>
      </c>
      <c r="P15" s="104"/>
      <c r="Q15" s="106"/>
    </row>
    <row r="16" spans="1:17" outlineLevel="3" x14ac:dyDescent="0.2">
      <c r="A16" t="s">
        <v>356</v>
      </c>
      <c r="C16" s="39"/>
      <c r="D16" s="84" t="s">
        <v>101</v>
      </c>
      <c r="E16" s="58" t="s">
        <v>102</v>
      </c>
      <c r="F16" s="58" t="s">
        <v>105</v>
      </c>
      <c r="G16" s="72">
        <v>1</v>
      </c>
      <c r="H16" s="91">
        <f>G16*H11</f>
        <v>1</v>
      </c>
      <c r="I16" s="46">
        <v>10</v>
      </c>
      <c r="J16" s="46">
        <f>I16*H16</f>
        <v>10</v>
      </c>
      <c r="K16" s="97">
        <f>ROUND(Discount!F40,10)</f>
        <v>0.92</v>
      </c>
      <c r="L16" s="97">
        <f>1-ROUND(Discount!F40,10)</f>
        <v>7.999999999999996E-2</v>
      </c>
      <c r="M16" s="48">
        <f>POUTSOURINGHW1</f>
        <v>1</v>
      </c>
      <c r="N16" s="46">
        <f>ROUND(I16*QF_SYS_EXCHANGE1*Discount!F40*POUTSOURINGHW1,2)</f>
        <v>9.1999999999999993</v>
      </c>
      <c r="O16" s="46">
        <f>N16*H16</f>
        <v>9.1999999999999993</v>
      </c>
      <c r="P16" s="105" t="s">
        <v>29</v>
      </c>
      <c r="Q16" s="106"/>
    </row>
    <row r="17" spans="1:17" outlineLevel="1" x14ac:dyDescent="0.2">
      <c r="A17" t="s">
        <v>357</v>
      </c>
      <c r="C17" s="68" t="s">
        <v>358</v>
      </c>
      <c r="D17" s="129" t="s">
        <v>86</v>
      </c>
      <c r="E17" s="129"/>
      <c r="F17" s="130"/>
      <c r="G17" s="71"/>
      <c r="H17" s="89"/>
      <c r="I17" s="74"/>
      <c r="J17" s="74">
        <f>SUBTOTAL(9,J18:J18)</f>
        <v>154.80000000000001</v>
      </c>
      <c r="K17" s="95"/>
      <c r="L17" s="95"/>
      <c r="M17" s="99"/>
      <c r="N17" s="74"/>
      <c r="O17" s="74">
        <f>SUBTOTAL(9,O18:O18)</f>
        <v>46.44</v>
      </c>
      <c r="P17" s="103"/>
      <c r="Q17" s="106"/>
    </row>
    <row r="18" spans="1:17" ht="36" outlineLevel="2" x14ac:dyDescent="0.2">
      <c r="A18" t="s">
        <v>359</v>
      </c>
      <c r="C18" s="50"/>
      <c r="D18" s="107" t="s">
        <v>87</v>
      </c>
      <c r="E18" s="108" t="s">
        <v>103</v>
      </c>
      <c r="F18" s="108" t="s">
        <v>106</v>
      </c>
      <c r="G18" s="109">
        <v>1</v>
      </c>
      <c r="H18" s="110">
        <f>G18*H11</f>
        <v>1</v>
      </c>
      <c r="I18" s="54">
        <v>154.80000000000001</v>
      </c>
      <c r="J18" s="54">
        <f>I18*H18</f>
        <v>154.80000000000001</v>
      </c>
      <c r="K18" s="111">
        <f>ROUND(Discount!F41,10)</f>
        <v>0.3</v>
      </c>
      <c r="L18" s="111">
        <f>1-ROUND(Discount!F41,10)</f>
        <v>0.7</v>
      </c>
      <c r="M18" s="55">
        <f>PHUAWEISERVICE1</f>
        <v>1</v>
      </c>
      <c r="N18" s="54">
        <f>ROUND(I18*QF_SYS_EXCHANGE1*Discount!F41*PHUAWEISERVICE1,2)</f>
        <v>46.44</v>
      </c>
      <c r="O18" s="54">
        <f>N18*H18</f>
        <v>46.44</v>
      </c>
      <c r="P18" s="112" t="s">
        <v>32</v>
      </c>
      <c r="Q18" s="106"/>
    </row>
  </sheetData>
  <mergeCells count="6">
    <mergeCell ref="D17:F17"/>
    <mergeCell ref="D10:F10"/>
    <mergeCell ref="D11:F11"/>
    <mergeCell ref="D12:F12"/>
    <mergeCell ref="D14:F14"/>
    <mergeCell ref="D15:F15"/>
  </mergeCells>
  <pageMargins left="0.51181102362204722" right="0.51181102362204722" top="0.51181102362204722" bottom="0.47244094488188981" header="7.874015748031496E-2" footer="0.1968503937007874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18"/>
  <sheetViews>
    <sheetView topLeftCell="B2" workbookViewId="0">
      <selection activeCell="F18" sqref="F18"/>
    </sheetView>
  </sheetViews>
  <sheetFormatPr baseColWidth="10" defaultColWidth="9.140625" defaultRowHeight="12.75" outlineLevelRow="3" x14ac:dyDescent="0.2"/>
  <cols>
    <col min="1" max="1" width="1.85546875" style="1" hidden="1" customWidth="1"/>
    <col min="2" max="2" width="1.85546875" style="1" customWidth="1"/>
    <col min="3" max="3" width="7.7109375" style="1" customWidth="1"/>
    <col min="4" max="4" width="13.5703125" style="1" hidden="1" customWidth="1"/>
    <col min="5" max="5" width="19.42578125" style="1" customWidth="1"/>
    <col min="6" max="6" width="34.5703125" style="1" customWidth="1"/>
    <col min="7" max="8" width="7" style="1" customWidth="1"/>
    <col min="9" max="10" width="14.5703125" style="1" customWidth="1"/>
    <col min="11" max="11" width="14.42578125" style="1" hidden="1" customWidth="1"/>
    <col min="12" max="12" width="16" style="1" customWidth="1"/>
    <col min="13" max="13" width="16.7109375" style="1" customWidth="1"/>
    <col min="14" max="15" width="14.5703125" style="1" customWidth="1"/>
    <col min="16" max="16" width="16.5703125" style="1" customWidth="1"/>
    <col min="17" max="16384" width="9.140625" style="1"/>
  </cols>
  <sheetData>
    <row r="1" spans="1:17" ht="12.75" hidden="1" customHeight="1" x14ac:dyDescent="0.2">
      <c r="C1" t="s">
        <v>221</v>
      </c>
      <c r="D1" t="s">
        <v>325</v>
      </c>
      <c r="E1" t="s">
        <v>326</v>
      </c>
      <c r="F1" t="s">
        <v>222</v>
      </c>
      <c r="G1" t="s">
        <v>327</v>
      </c>
      <c r="H1" t="s">
        <v>274</v>
      </c>
      <c r="I1" t="s">
        <v>275</v>
      </c>
      <c r="J1" t="s">
        <v>225</v>
      </c>
      <c r="K1" t="s">
        <v>328</v>
      </c>
      <c r="L1" t="s">
        <v>329</v>
      </c>
      <c r="M1" t="s">
        <v>226</v>
      </c>
      <c r="N1" t="s">
        <v>276</v>
      </c>
      <c r="O1" t="s">
        <v>227</v>
      </c>
      <c r="P1" t="s">
        <v>330</v>
      </c>
      <c r="Q1" t="s">
        <v>331</v>
      </c>
    </row>
    <row r="2" spans="1:17" ht="12.75" customHeight="1" x14ac:dyDescent="0.2"/>
    <row r="3" spans="1:17" ht="12.75" customHeight="1" x14ac:dyDescent="0.2"/>
    <row r="4" spans="1:17" ht="12.75" customHeight="1" x14ac:dyDescent="0.2"/>
    <row r="5" spans="1:17" ht="12.75" customHeight="1" x14ac:dyDescent="0.2"/>
    <row r="6" spans="1:17" ht="12.75" customHeight="1" x14ac:dyDescent="0.2">
      <c r="C6" s="36"/>
      <c r="D6" s="36"/>
      <c r="E6" s="36"/>
      <c r="F6" s="36"/>
      <c r="G6" s="36"/>
      <c r="H6" s="36"/>
      <c r="I6" s="36"/>
      <c r="J6" s="36"/>
      <c r="K6" s="36"/>
      <c r="L6" s="36"/>
      <c r="M6" s="36"/>
      <c r="N6" s="36"/>
      <c r="O6" s="36"/>
      <c r="P6" s="36"/>
    </row>
    <row r="7" spans="1:17" ht="12.75" customHeight="1" x14ac:dyDescent="0.2"/>
    <row r="8" spans="1:17" ht="12.75" customHeight="1" x14ac:dyDescent="0.2"/>
    <row r="9" spans="1:17" ht="24" customHeight="1" x14ac:dyDescent="0.2">
      <c r="C9" s="35" t="s">
        <v>22</v>
      </c>
      <c r="D9" s="37" t="s">
        <v>71</v>
      </c>
      <c r="E9" s="35" t="s">
        <v>72</v>
      </c>
      <c r="F9" s="35" t="s">
        <v>73</v>
      </c>
      <c r="G9" s="35" t="s">
        <v>74</v>
      </c>
      <c r="H9" s="35" t="s">
        <v>70</v>
      </c>
      <c r="I9" s="35" t="str">
        <f>"List Price
("&amp;QF_SYS_LISTPRICECURRENCY&amp;")"</f>
        <v>List Price
(USD)</v>
      </c>
      <c r="J9" s="35" t="str">
        <f>"Total List Price
("&amp;QF_SYS_LISTPRICECURRENCY&amp;")"</f>
        <v>Total List Price
(USD)</v>
      </c>
      <c r="K9" s="37" t="s">
        <v>24</v>
      </c>
      <c r="L9" s="35" t="s">
        <v>25</v>
      </c>
      <c r="M9" s="35" t="s">
        <v>11</v>
      </c>
      <c r="N9" s="35" t="str">
        <f>IF(QuoteType="Embedded","Unit Price
("&amp;QF_SYS_CURRENCY1&amp;IF(QF_SYS_TRADETERMDESC1="","",IF(QF_SYS_CURRENCY1="",""," "))&amp;QF_SYS_TRADETERMDESC1&amp;IF(QF_SYS_DESTINATION1="","",IF(QF_SYS_TRADETERMDESC1="",IF(QF_SYS_CURRENCY1="",""," ")," "))&amp;QF_SYS_DESTINATION1&amp;")","Unit Price
("&amp;QF_SYS_CURRENCY1&amp;")")</f>
        <v>Unit Price
(USD FCA Hongkong_China)</v>
      </c>
      <c r="O9" s="35" t="str">
        <f>IF(QuoteType="Embedded", "Total Price
("&amp;QF_SYS_CURRENCY1&amp;IF(QF_SYS_TRADETERMDESC1="","",IF(QF_SYS_CURRENCY1="",""," "))&amp;QF_SYS_TRADETERMDESC1&amp;IF(QF_SYS_DESTINATION1="","",IF(QF_SYS_TRADETERMDESC1="",IF(QF_SYS_CURRENCY1="",""," ")," "))&amp;QF_SYS_DESTINATION1&amp;")","Total Price
("&amp;QF_SYS_CURRENCY1&amp;")")</f>
        <v>Total Price
(USD FCA Hongkong_China)</v>
      </c>
      <c r="P9" s="35" t="s">
        <v>75</v>
      </c>
      <c r="Q9" s="81" t="s">
        <v>76</v>
      </c>
    </row>
    <row r="10" spans="1:17" x14ac:dyDescent="0.2">
      <c r="A10" t="s">
        <v>360</v>
      </c>
      <c r="C10" s="38"/>
      <c r="D10" s="131" t="s">
        <v>63</v>
      </c>
      <c r="E10" s="131"/>
      <c r="F10" s="132"/>
      <c r="G10" s="85"/>
      <c r="H10" s="87"/>
      <c r="I10" s="45"/>
      <c r="J10" s="45"/>
      <c r="K10" s="93"/>
      <c r="L10" s="93"/>
      <c r="M10" s="47"/>
      <c r="N10" s="45"/>
      <c r="O10" s="45"/>
      <c r="P10" s="101"/>
      <c r="Q10" s="106"/>
    </row>
    <row r="11" spans="1:17" x14ac:dyDescent="0.2">
      <c r="A11" t="s">
        <v>361</v>
      </c>
      <c r="C11" s="69" t="s">
        <v>283</v>
      </c>
      <c r="D11" s="133" t="s">
        <v>107</v>
      </c>
      <c r="E11" s="133"/>
      <c r="F11" s="134"/>
      <c r="G11" s="73"/>
      <c r="H11" s="88">
        <v>1</v>
      </c>
      <c r="I11" s="75">
        <f>IF(OR(H11="",J11=""),"",J11/IF(H11=0,1,H11))</f>
        <v>6817.4</v>
      </c>
      <c r="J11" s="75">
        <f>J12+J15+J17</f>
        <v>6817.4</v>
      </c>
      <c r="K11" s="94"/>
      <c r="L11" s="94"/>
      <c r="M11" s="98"/>
      <c r="N11" s="75">
        <f>IF(OR(H11="",O11=""),"",O11/IF(H11=0,1,H11))</f>
        <v>1635.02</v>
      </c>
      <c r="O11" s="75">
        <f>O12+O15+O17</f>
        <v>1635.02</v>
      </c>
      <c r="P11" s="102"/>
      <c r="Q11" s="106"/>
    </row>
    <row r="12" spans="1:17" outlineLevel="1" x14ac:dyDescent="0.2">
      <c r="A12" t="s">
        <v>362</v>
      </c>
      <c r="C12" s="68" t="s">
        <v>363</v>
      </c>
      <c r="D12" s="129" t="s">
        <v>108</v>
      </c>
      <c r="E12" s="129"/>
      <c r="F12" s="130"/>
      <c r="G12" s="71"/>
      <c r="H12" s="89"/>
      <c r="I12" s="74"/>
      <c r="J12" s="74">
        <f>SUBTOTAL(9,J14:J14)</f>
        <v>6290</v>
      </c>
      <c r="K12" s="95"/>
      <c r="L12" s="95"/>
      <c r="M12" s="99"/>
      <c r="N12" s="74"/>
      <c r="O12" s="74">
        <f>SUBTOTAL(9,O14:O14)</f>
        <v>1383.8</v>
      </c>
      <c r="P12" s="103"/>
      <c r="Q12" s="106"/>
    </row>
    <row r="13" spans="1:17" outlineLevel="2" x14ac:dyDescent="0.2">
      <c r="A13" t="s">
        <v>364</v>
      </c>
      <c r="C13" s="82" t="s">
        <v>365</v>
      </c>
      <c r="D13" s="135" t="s">
        <v>109</v>
      </c>
      <c r="E13" s="135"/>
      <c r="F13" s="136"/>
      <c r="G13" s="86"/>
      <c r="H13" s="90"/>
      <c r="I13" s="92"/>
      <c r="J13" s="92">
        <f>SUBTOTAL(9,J14:J14)</f>
        <v>6290</v>
      </c>
      <c r="K13" s="96"/>
      <c r="L13" s="96"/>
      <c r="M13" s="100"/>
      <c r="N13" s="92"/>
      <c r="O13" s="92">
        <f>SUBTOTAL(9,O14:O14)</f>
        <v>1383.8</v>
      </c>
      <c r="P13" s="104"/>
      <c r="Q13" s="106"/>
    </row>
    <row r="14" spans="1:17" ht="36" outlineLevel="3" x14ac:dyDescent="0.2">
      <c r="A14" t="s">
        <v>366</v>
      </c>
      <c r="C14" s="39"/>
      <c r="D14" s="84" t="s">
        <v>110</v>
      </c>
      <c r="E14" s="58" t="s">
        <v>63</v>
      </c>
      <c r="F14" s="58" t="s">
        <v>115</v>
      </c>
      <c r="G14" s="72">
        <v>1</v>
      </c>
      <c r="H14" s="91">
        <f>G14*H11</f>
        <v>1</v>
      </c>
      <c r="I14" s="46">
        <v>6290</v>
      </c>
      <c r="J14" s="46">
        <f>I14*H14</f>
        <v>6290</v>
      </c>
      <c r="K14" s="97">
        <f>ROUND(Discount!F43,10)</f>
        <v>0.22</v>
      </c>
      <c r="L14" s="97">
        <f>1-ROUND(Discount!F43,10)</f>
        <v>0.78</v>
      </c>
      <c r="M14" s="48">
        <f>PHUAWEIHW1</f>
        <v>1</v>
      </c>
      <c r="N14" s="46">
        <f>ROUND(I14*QF_SYS_EXCHANGE1*Discount!F43*PHUAWEIHW1,2)</f>
        <v>1383.8</v>
      </c>
      <c r="O14" s="46">
        <f>N14*H14</f>
        <v>1383.8</v>
      </c>
      <c r="P14" s="105" t="s">
        <v>28</v>
      </c>
      <c r="Q14" s="106"/>
    </row>
    <row r="15" spans="1:17" outlineLevel="1" x14ac:dyDescent="0.2">
      <c r="A15" t="s">
        <v>367</v>
      </c>
      <c r="C15" s="68" t="s">
        <v>368</v>
      </c>
      <c r="D15" s="129" t="s">
        <v>111</v>
      </c>
      <c r="E15" s="129"/>
      <c r="F15" s="130"/>
      <c r="G15" s="71"/>
      <c r="H15" s="89"/>
      <c r="I15" s="74"/>
      <c r="J15" s="74">
        <f>SUBTOTAL(9,J16:J16)</f>
        <v>150</v>
      </c>
      <c r="K15" s="95"/>
      <c r="L15" s="95"/>
      <c r="M15" s="99"/>
      <c r="N15" s="74"/>
      <c r="O15" s="74">
        <f>SUBTOTAL(9,O16:O16)</f>
        <v>138</v>
      </c>
      <c r="P15" s="103"/>
      <c r="Q15" s="106"/>
    </row>
    <row r="16" spans="1:17" ht="24" outlineLevel="2" x14ac:dyDescent="0.2">
      <c r="A16" t="s">
        <v>369</v>
      </c>
      <c r="C16" s="39"/>
      <c r="D16" s="84" t="s">
        <v>112</v>
      </c>
      <c r="E16" s="58" t="s">
        <v>113</v>
      </c>
      <c r="F16" s="58" t="s">
        <v>116</v>
      </c>
      <c r="G16" s="72">
        <v>1</v>
      </c>
      <c r="H16" s="91">
        <f>G16*H11</f>
        <v>1</v>
      </c>
      <c r="I16" s="46">
        <v>150</v>
      </c>
      <c r="J16" s="46">
        <f>I16*H16</f>
        <v>150</v>
      </c>
      <c r="K16" s="97">
        <f>ROUND(Discount!F44,10)</f>
        <v>0.92</v>
      </c>
      <c r="L16" s="97">
        <f>1-ROUND(Discount!F44,10)</f>
        <v>7.999999999999996E-2</v>
      </c>
      <c r="M16" s="48">
        <f>POUTSOURINGHW1</f>
        <v>1</v>
      </c>
      <c r="N16" s="46">
        <f>ROUND(I16*QF_SYS_EXCHANGE1*Discount!F44*POUTSOURINGHW1,2)</f>
        <v>138</v>
      </c>
      <c r="O16" s="46">
        <f>N16*H16</f>
        <v>138</v>
      </c>
      <c r="P16" s="105" t="s">
        <v>29</v>
      </c>
      <c r="Q16" s="106"/>
    </row>
    <row r="17" spans="1:17" outlineLevel="1" x14ac:dyDescent="0.2">
      <c r="A17" t="s">
        <v>370</v>
      </c>
      <c r="C17" s="68" t="s">
        <v>371</v>
      </c>
      <c r="D17" s="129" t="s">
        <v>86</v>
      </c>
      <c r="E17" s="129"/>
      <c r="F17" s="130"/>
      <c r="G17" s="71"/>
      <c r="H17" s="89"/>
      <c r="I17" s="74"/>
      <c r="J17" s="74">
        <f>SUBTOTAL(9,J18:J18)</f>
        <v>377.4</v>
      </c>
      <c r="K17" s="95"/>
      <c r="L17" s="95"/>
      <c r="M17" s="99"/>
      <c r="N17" s="74"/>
      <c r="O17" s="74">
        <f>SUBTOTAL(9,O18:O18)</f>
        <v>113.22</v>
      </c>
      <c r="P17" s="103"/>
      <c r="Q17" s="106"/>
    </row>
    <row r="18" spans="1:17" ht="36" outlineLevel="2" x14ac:dyDescent="0.2">
      <c r="A18" t="s">
        <v>372</v>
      </c>
      <c r="C18" s="50"/>
      <c r="D18" s="107" t="s">
        <v>87</v>
      </c>
      <c r="E18" s="108" t="s">
        <v>114</v>
      </c>
      <c r="F18" s="108" t="s">
        <v>117</v>
      </c>
      <c r="G18" s="109">
        <v>1</v>
      </c>
      <c r="H18" s="110">
        <f>G18*H11</f>
        <v>1</v>
      </c>
      <c r="I18" s="54">
        <v>377.4</v>
      </c>
      <c r="J18" s="54">
        <f>I18*H18</f>
        <v>377.4</v>
      </c>
      <c r="K18" s="111">
        <f>ROUND(Discount!F45,10)</f>
        <v>0.3</v>
      </c>
      <c r="L18" s="111">
        <f>1-ROUND(Discount!F45,10)</f>
        <v>0.7</v>
      </c>
      <c r="M18" s="55">
        <f>PHUAWEISERVICE1</f>
        <v>1</v>
      </c>
      <c r="N18" s="54">
        <f>ROUND(I18*QF_SYS_EXCHANGE1*Discount!F45*PHUAWEISERVICE1,2)</f>
        <v>113.22</v>
      </c>
      <c r="O18" s="54">
        <f>N18*H18</f>
        <v>113.22</v>
      </c>
      <c r="P18" s="112" t="s">
        <v>32</v>
      </c>
      <c r="Q18" s="106"/>
    </row>
  </sheetData>
  <mergeCells count="6">
    <mergeCell ref="D17:F17"/>
    <mergeCell ref="D10:F10"/>
    <mergeCell ref="D11:F11"/>
    <mergeCell ref="D12:F12"/>
    <mergeCell ref="D13:F13"/>
    <mergeCell ref="D15:F15"/>
  </mergeCells>
  <pageMargins left="0.51181102362204722" right="0.51181102362204722" top="0.51181102362204722" bottom="0.47244094488188981" header="7.874015748031496E-2" footer="0.196850393700787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78</vt:i4>
      </vt:variant>
    </vt:vector>
  </HeadingPairs>
  <TitlesOfParts>
    <vt:vector size="93" baseType="lpstr">
      <vt:lpstr>Cover</vt:lpstr>
      <vt:lpstr>Disclaimer</vt:lpstr>
      <vt:lpstr>Basic Information</vt:lpstr>
      <vt:lpstr>Discount</vt:lpstr>
      <vt:lpstr>Summary</vt:lpstr>
      <vt:lpstr>Statistics</vt:lpstr>
      <vt:lpstr>FIREWALL</vt:lpstr>
      <vt:lpstr>ROUTER</vt:lpstr>
      <vt:lpstr>SWITCH 48P</vt:lpstr>
      <vt:lpstr>STORAGE</vt:lpstr>
      <vt:lpstr>SERV-05</vt:lpstr>
      <vt:lpstr>SERV-04</vt:lpstr>
      <vt:lpstr>SERV-03</vt:lpstr>
      <vt:lpstr>SERV-02</vt:lpstr>
      <vt:lpstr>SERV-01</vt:lpstr>
      <vt:lpstr>Cover!AGENTID</vt:lpstr>
      <vt:lpstr>Cover!Área_de_impresión</vt:lpstr>
      <vt:lpstr>FIREWALL!Área_de_impresión</vt:lpstr>
      <vt:lpstr>ROUTER!Área_de_impresión</vt:lpstr>
      <vt:lpstr>'SERV-01'!Área_de_impresión</vt:lpstr>
      <vt:lpstr>'SERV-02'!Área_de_impresión</vt:lpstr>
      <vt:lpstr>'SERV-03'!Área_de_impresión</vt:lpstr>
      <vt:lpstr>'SERV-04'!Área_de_impresión</vt:lpstr>
      <vt:lpstr>'SERV-05'!Área_de_impresión</vt:lpstr>
      <vt:lpstr>STORAGE!Área_de_impresión</vt:lpstr>
      <vt:lpstr>Summary!Área_de_impresión</vt:lpstr>
      <vt:lpstr>'SWITCH 48P'!Área_de_impresión</vt:lpstr>
      <vt:lpstr>'Basic Information'!bAuthPriceName</vt:lpstr>
      <vt:lpstr>'Basic Information'!bContractNo</vt:lpstr>
      <vt:lpstr>'Basic Information'!bCountry</vt:lpstr>
      <vt:lpstr>'Basic Information'!bCountryName</vt:lpstr>
      <vt:lpstr>Cover!BOQ_FLAG</vt:lpstr>
      <vt:lpstr>'Basic Information'!bPartnerName</vt:lpstr>
      <vt:lpstr>'Basic Information'!bPoNo</vt:lpstr>
      <vt:lpstr>'Basic Information'!bPriceBookName</vt:lpstr>
      <vt:lpstr>'Basic Information'!bPriceId</vt:lpstr>
      <vt:lpstr>'Basic Information'!bProposalNo</vt:lpstr>
      <vt:lpstr>'Basic Information'!bUserId</vt:lpstr>
      <vt:lpstr>Discount!CFGAREA</vt:lpstr>
      <vt:lpstr>FIREWALL!CFGAREA</vt:lpstr>
      <vt:lpstr>ROUTER!CFGAREA</vt:lpstr>
      <vt:lpstr>'SERV-01'!CFGAREA</vt:lpstr>
      <vt:lpstr>'SERV-02'!CFGAREA</vt:lpstr>
      <vt:lpstr>'SERV-03'!CFGAREA</vt:lpstr>
      <vt:lpstr>'SERV-04'!CFGAREA</vt:lpstr>
      <vt:lpstr>'SERV-05'!CFGAREA</vt:lpstr>
      <vt:lpstr>Statistics!CFGAREA</vt:lpstr>
      <vt:lpstr>STORAGE!CFGAREA</vt:lpstr>
      <vt:lpstr>Summary!CFGAREA</vt:lpstr>
      <vt:lpstr>'SWITCH 48P'!CFGAREA</vt:lpstr>
      <vt:lpstr>Discount!CFGAREA1</vt:lpstr>
      <vt:lpstr>Discount!CFGAREA2</vt:lpstr>
      <vt:lpstr>Cover!COMPANYNAME</vt:lpstr>
      <vt:lpstr>Cover!CREATE_DATE</vt:lpstr>
      <vt:lpstr>PHUAWEIHSW1</vt:lpstr>
      <vt:lpstr>PHUAWEIHW1</vt:lpstr>
      <vt:lpstr>PHUAWEISERVICE1</vt:lpstr>
      <vt:lpstr>PHUAWEISW1</vt:lpstr>
      <vt:lpstr>PLOCALOUTSOURCING1</vt:lpstr>
      <vt:lpstr>PLOCALSERVICE1</vt:lpstr>
      <vt:lpstr>PLSSERVICE1</vt:lpstr>
      <vt:lpstr>POUTSOURINGHW1</vt:lpstr>
      <vt:lpstr>POUTSOURINGSW1</vt:lpstr>
      <vt:lpstr>Cover!PRICEID</vt:lpstr>
      <vt:lpstr>Discount!ProductDiscount</vt:lpstr>
      <vt:lpstr>Cover!PROJECTCODE</vt:lpstr>
      <vt:lpstr>Cover!PROJECTNAME</vt:lpstr>
      <vt:lpstr>PVIRTUALTRADECATEGORY1</vt:lpstr>
      <vt:lpstr>QF_SYS_CURRENCY1</vt:lpstr>
      <vt:lpstr>QF_SYS_DESTINATION1</vt:lpstr>
      <vt:lpstr>QF_SYS_EXCHANGE1</vt:lpstr>
      <vt:lpstr>QF_SYS_LISTPRICECURRENCY</vt:lpstr>
      <vt:lpstr>QF_SYS_TRADETERMDESC1</vt:lpstr>
      <vt:lpstr>Cover!QUOTATIONBY</vt:lpstr>
      <vt:lpstr>Cover!QUOTATIONNO</vt:lpstr>
      <vt:lpstr>QuoteType</vt:lpstr>
      <vt:lpstr>Statistics!statistics</vt:lpstr>
      <vt:lpstr>FIREWALL!Títulos_a_imprimir</vt:lpstr>
      <vt:lpstr>ROUTER!Títulos_a_imprimir</vt:lpstr>
      <vt:lpstr>'SERV-01'!Títulos_a_imprimir</vt:lpstr>
      <vt:lpstr>'SERV-02'!Títulos_a_imprimir</vt:lpstr>
      <vt:lpstr>'SERV-03'!Títulos_a_imprimir</vt:lpstr>
      <vt:lpstr>'SERV-04'!Títulos_a_imprimir</vt:lpstr>
      <vt:lpstr>'SERV-05'!Títulos_a_imprimir</vt:lpstr>
      <vt:lpstr>STORAGE!Títulos_a_imprimir</vt:lpstr>
      <vt:lpstr>Summary!Títulos_a_imprimir</vt:lpstr>
      <vt:lpstr>'SWITCH 48P'!Títulos_a_imprimir</vt:lpstr>
      <vt:lpstr>Discount!TradeCoefficient</vt:lpstr>
      <vt:lpstr>Discount!TradeTerm</vt:lpstr>
      <vt:lpstr>Cover!USERID</vt:lpstr>
      <vt:lpstr>'Basic Information'!VALID_AREA</vt:lpstr>
      <vt:lpstr>Cover!VALID_AREA</vt:lpstr>
      <vt:lpstr>Disclaimer!VALID_AREA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2016-12-01T14:16:46Z</dcterms:modified>
</cp:coreProperties>
</file>