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xl/tables/table3.xml" ContentType="application/vnd.openxmlformats-officedocument.spreadsheetml.table+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arry Wong\Dropbox\privada\Persepolis\01.MODELO PERSEPOLIS\02.Ejecucion\03.Frente Tecnologia\repositorios\empresa\soluciones\abb\proyectos\solx214\"/>
    </mc:Choice>
  </mc:AlternateContent>
  <bookViews>
    <workbookView xWindow="0" yWindow="0" windowWidth="20490" windowHeight="10320" tabRatio="944" activeTab="3"/>
  </bookViews>
  <sheets>
    <sheet name="Resumen" sheetId="1" r:id="rId1"/>
    <sheet name="Recursos Humanos" sheetId="10" r:id="rId2"/>
    <sheet name="Recursos fisicos y otros" sheetId="11" r:id="rId3"/>
    <sheet name="Compras HW y SW " sheetId="38" r:id="rId4"/>
    <sheet name="Recursos solicitados" sheetId="39" state="hidden" r:id="rId5"/>
    <sheet name="Estimados de Viáticos" sheetId="5" r:id="rId6"/>
    <sheet name="Seguros" sheetId="13" r:id="rId7"/>
    <sheet name="Impuestos" sheetId="14" r:id="rId8"/>
    <sheet name="Supuestos" sheetId="3" r:id="rId9"/>
    <sheet name="Lista de chequeo para revisores" sheetId="2" state="hidden" r:id="rId10"/>
    <sheet name="Parametros" sheetId="4" r:id="rId11"/>
    <sheet name="Soporte de estimados de tiempos" sheetId="6" r:id="rId12"/>
    <sheet name="Flujo de Caja Estimado" sheetId="7" r:id="rId13"/>
    <sheet name="Factor Prestacional " sheetId="16" state="hidden" r:id="rId14"/>
    <sheet name="Perfiles" sheetId="29" r:id="rId15"/>
    <sheet name="Notas" sheetId="40" r:id="rId16"/>
    <sheet name="Estimación Distribución" sheetId="21" state="hidden" r:id="rId17"/>
    <sheet name="Riesgo CITI" sheetId="33" state="hidden" r:id="rId18"/>
    <sheet name="doc fsw" sheetId="34" state="hidden" r:id="rId19"/>
    <sheet name="Riesgo ICETEX" sheetId="35" state="hidden" r:id="rId20"/>
    <sheet name="PERFILES Referencia (2)" sheetId="37" state="hidden" r:id="rId21"/>
  </sheets>
  <externalReferences>
    <externalReference r:id="rId22"/>
    <externalReference r:id="rId23"/>
  </externalReferences>
  <definedNames>
    <definedName name="ANALISTA_PROGRAMADOR_SR.">'Recursos Humanos'!$A$11</definedName>
    <definedName name="CountrySelection" localSheetId="3">#REF!</definedName>
    <definedName name="CountrySelection" localSheetId="7">#REF!</definedName>
    <definedName name="CountrySelection" localSheetId="6">#REF!</definedName>
    <definedName name="CountrySelection">#REF!</definedName>
    <definedName name="Horas_al_mes">Parametros!$B$15</definedName>
    <definedName name="IndustryList" localSheetId="3">Parametros!#REF!</definedName>
    <definedName name="IndustryList">Parametros!#REF!</definedName>
    <definedName name="multiplicador">Parametros!$B$14</definedName>
    <definedName name="precioDuración">'Recursos Humanos'!$M$11</definedName>
    <definedName name="PricingType">Resumen!$AC$18:$AC$19</definedName>
  </definedNames>
  <calcPr calcId="152511" iterate="1" concurrentCalc="0"/>
</workbook>
</file>

<file path=xl/calcChain.xml><?xml version="1.0" encoding="utf-8"?>
<calcChain xmlns="http://schemas.openxmlformats.org/spreadsheetml/2006/main">
  <c r="F67" i="38" l="1"/>
  <c r="K67" i="38"/>
  <c r="L67" i="38"/>
  <c r="E107" i="38"/>
  <c r="F63" i="38"/>
  <c r="K63" i="38"/>
  <c r="L63" i="38"/>
  <c r="E106" i="38"/>
  <c r="F58" i="38"/>
  <c r="K58" i="38"/>
  <c r="L58" i="38"/>
  <c r="E105" i="38"/>
  <c r="K10" i="38"/>
  <c r="L10" i="38"/>
  <c r="E103" i="38"/>
  <c r="K68" i="38"/>
  <c r="L68" i="38"/>
  <c r="E108" i="38"/>
  <c r="K69" i="38"/>
  <c r="L69" i="38"/>
  <c r="E109" i="38"/>
  <c r="K71" i="38"/>
  <c r="L71" i="38"/>
  <c r="E110" i="38"/>
  <c r="K73" i="38"/>
  <c r="L73" i="38"/>
  <c r="E111" i="38"/>
  <c r="K76" i="38"/>
  <c r="L76" i="38"/>
  <c r="E112" i="38"/>
  <c r="K77" i="38"/>
  <c r="L77" i="38"/>
  <c r="E113" i="38"/>
  <c r="K78" i="38"/>
  <c r="L78" i="38"/>
  <c r="E114" i="38"/>
  <c r="K81" i="38"/>
  <c r="L81" i="38"/>
  <c r="E115" i="38"/>
  <c r="K82" i="38"/>
  <c r="L82" i="38"/>
  <c r="E116" i="38"/>
  <c r="K85" i="38"/>
  <c r="L85" i="38"/>
  <c r="E117" i="38"/>
  <c r="K86" i="38"/>
  <c r="L86" i="38"/>
  <c r="E118" i="38"/>
  <c r="K87" i="38"/>
  <c r="L87" i="38"/>
  <c r="E119" i="38"/>
  <c r="K90" i="38"/>
  <c r="L90" i="38"/>
  <c r="E120" i="38"/>
  <c r="K92" i="38"/>
  <c r="L92" i="38"/>
  <c r="E121" i="38"/>
  <c r="F93" i="38"/>
  <c r="K93" i="38"/>
  <c r="L93" i="38"/>
  <c r="E122" i="38"/>
  <c r="F94" i="38"/>
  <c r="K94" i="38"/>
  <c r="L94" i="38"/>
  <c r="E123" i="38"/>
  <c r="F95" i="38"/>
  <c r="K95" i="38"/>
  <c r="L95" i="38"/>
  <c r="E124" i="38"/>
  <c r="F96" i="38"/>
  <c r="K96" i="38"/>
  <c r="L96" i="38"/>
  <c r="E125" i="38"/>
  <c r="K97" i="38"/>
  <c r="L97" i="38"/>
  <c r="E126" i="38"/>
  <c r="E128" i="38"/>
  <c r="K66" i="38"/>
  <c r="L66" i="38"/>
  <c r="K65" i="38"/>
  <c r="L65" i="38"/>
  <c r="K64" i="38"/>
  <c r="L64" i="38"/>
  <c r="K62" i="38"/>
  <c r="L62" i="38"/>
  <c r="K61" i="38"/>
  <c r="L61" i="38"/>
  <c r="K60" i="38"/>
  <c r="L60" i="38"/>
  <c r="K59" i="38"/>
  <c r="L59" i="38"/>
  <c r="K57" i="38"/>
  <c r="L57" i="38"/>
  <c r="K56" i="38"/>
  <c r="L56" i="38"/>
  <c r="K55" i="38"/>
  <c r="L55" i="38"/>
  <c r="F6" i="10"/>
  <c r="F4" i="10"/>
  <c r="F8" i="10"/>
  <c r="F9" i="10"/>
  <c r="J9" i="10"/>
  <c r="K9" i="10"/>
  <c r="J8" i="10"/>
  <c r="K8" i="10"/>
  <c r="J4" i="10"/>
  <c r="K4" i="10"/>
  <c r="J6" i="10"/>
  <c r="K6" i="10"/>
  <c r="F3" i="10"/>
  <c r="J3" i="10"/>
  <c r="K3" i="10"/>
  <c r="F5" i="10"/>
  <c r="J5" i="10"/>
  <c r="K5" i="10"/>
  <c r="F7" i="10"/>
  <c r="J7" i="10"/>
  <c r="K7" i="10"/>
  <c r="J10" i="10"/>
  <c r="K10" i="10"/>
  <c r="K11" i="10"/>
  <c r="D40" i="1"/>
  <c r="Q3" i="10"/>
  <c r="S3" i="10"/>
  <c r="Q4" i="10"/>
  <c r="S4" i="10"/>
  <c r="Q5" i="10"/>
  <c r="S5" i="10"/>
  <c r="Q6" i="10"/>
  <c r="S6" i="10"/>
  <c r="Q7" i="10"/>
  <c r="S7" i="10"/>
  <c r="Q8" i="10"/>
  <c r="S8" i="10"/>
  <c r="Q9" i="10"/>
  <c r="S9" i="10"/>
  <c r="Q10" i="10"/>
  <c r="S10" i="10"/>
  <c r="S11" i="10"/>
  <c r="C35" i="10"/>
  <c r="D103" i="38"/>
  <c r="D108" i="38"/>
  <c r="C109" i="38"/>
  <c r="D109" i="38"/>
  <c r="K70" i="38"/>
  <c r="L70" i="38"/>
  <c r="C110" i="38"/>
  <c r="D110" i="38"/>
  <c r="K72" i="38"/>
  <c r="L72" i="38"/>
  <c r="C111" i="38"/>
  <c r="D111" i="38"/>
  <c r="K74" i="38"/>
  <c r="L74" i="38"/>
  <c r="K75" i="38"/>
  <c r="L75" i="38"/>
  <c r="C112" i="38"/>
  <c r="D112" i="38"/>
  <c r="D113" i="38"/>
  <c r="C114" i="38"/>
  <c r="D114" i="38"/>
  <c r="K79" i="38"/>
  <c r="L79" i="38"/>
  <c r="K80" i="38"/>
  <c r="L80" i="38"/>
  <c r="C115" i="38"/>
  <c r="D115" i="38"/>
  <c r="C116" i="38"/>
  <c r="D116" i="38"/>
  <c r="L83" i="38"/>
  <c r="K84" i="38"/>
  <c r="L84" i="38"/>
  <c r="C117" i="38"/>
  <c r="D117" i="38"/>
  <c r="D118" i="38"/>
  <c r="C119" i="38"/>
  <c r="D119" i="38"/>
  <c r="K88" i="38"/>
  <c r="L88" i="38"/>
  <c r="K89" i="38"/>
  <c r="L89" i="38"/>
  <c r="C120" i="38"/>
  <c r="D120" i="38"/>
  <c r="K91" i="38"/>
  <c r="L91" i="38"/>
  <c r="D121" i="38"/>
  <c r="C122" i="38"/>
  <c r="D122" i="38"/>
  <c r="C123" i="38"/>
  <c r="D123" i="38"/>
  <c r="C124" i="38"/>
  <c r="D124" i="38"/>
  <c r="C125" i="38"/>
  <c r="D125" i="38"/>
  <c r="C126" i="38"/>
  <c r="D126" i="38"/>
  <c r="F4" i="38"/>
  <c r="K4" i="38"/>
  <c r="L4" i="38"/>
  <c r="K5" i="38"/>
  <c r="L5" i="38"/>
  <c r="K6" i="38"/>
  <c r="L6" i="38"/>
  <c r="K7" i="38"/>
  <c r="L7" i="38"/>
  <c r="K8" i="38"/>
  <c r="L8" i="38"/>
  <c r="K9" i="38"/>
  <c r="L9" i="38"/>
  <c r="K11" i="38"/>
  <c r="L11" i="38"/>
  <c r="K12" i="38"/>
  <c r="L12" i="38"/>
  <c r="K13" i="38"/>
  <c r="L13" i="38"/>
  <c r="K14" i="38"/>
  <c r="L14" i="38"/>
  <c r="K15" i="38"/>
  <c r="L15" i="38"/>
  <c r="K16" i="38"/>
  <c r="L16" i="38"/>
  <c r="K17" i="38"/>
  <c r="L17" i="38"/>
  <c r="K18" i="38"/>
  <c r="L18" i="38"/>
  <c r="K19" i="38"/>
  <c r="L19" i="38"/>
  <c r="K20" i="38"/>
  <c r="L20" i="38"/>
  <c r="K21" i="38"/>
  <c r="L21" i="38"/>
  <c r="K22" i="38"/>
  <c r="L22" i="38"/>
  <c r="K23" i="38"/>
  <c r="L23" i="38"/>
  <c r="K24" i="38"/>
  <c r="L24" i="38"/>
  <c r="K25" i="38"/>
  <c r="L25" i="38"/>
  <c r="K26" i="38"/>
  <c r="L26" i="38"/>
  <c r="K27" i="38"/>
  <c r="L27" i="38"/>
  <c r="K28" i="38"/>
  <c r="L28" i="38"/>
  <c r="K29" i="38"/>
  <c r="L29" i="38"/>
  <c r="F30" i="38"/>
  <c r="K30" i="38"/>
  <c r="L30" i="38"/>
  <c r="K31" i="38"/>
  <c r="L31" i="38"/>
  <c r="F32" i="38"/>
  <c r="K32" i="38"/>
  <c r="L32" i="38"/>
  <c r="J11" i="10"/>
  <c r="C3" i="11"/>
  <c r="D3" i="11"/>
  <c r="D22" i="11"/>
  <c r="D23" i="11"/>
  <c r="D5" i="11"/>
  <c r="D24" i="11"/>
  <c r="D25" i="11"/>
  <c r="D7" i="11"/>
  <c r="D26" i="11"/>
  <c r="D27" i="11"/>
  <c r="D28" i="11"/>
  <c r="C10" i="11"/>
  <c r="D10" i="11"/>
  <c r="D29" i="11"/>
  <c r="C11" i="11"/>
  <c r="D11" i="11"/>
  <c r="D30" i="11"/>
  <c r="C12" i="11"/>
  <c r="D12" i="11"/>
  <c r="D31" i="11"/>
  <c r="D33" i="11"/>
  <c r="C23" i="11"/>
  <c r="C24" i="11"/>
  <c r="C25" i="11"/>
  <c r="C26" i="11"/>
  <c r="C27" i="11"/>
  <c r="C28" i="11"/>
  <c r="C29" i="11"/>
  <c r="C30" i="11"/>
  <c r="C31" i="11"/>
  <c r="C22" i="11"/>
  <c r="B23" i="11"/>
  <c r="B24" i="11"/>
  <c r="B25" i="11"/>
  <c r="B26" i="11"/>
  <c r="B27" i="11"/>
  <c r="B28" i="11"/>
  <c r="B29" i="11"/>
  <c r="B30" i="11"/>
  <c r="B31" i="11"/>
  <c r="B22" i="11"/>
  <c r="L3" i="10"/>
  <c r="M3" i="10"/>
  <c r="L4" i="10"/>
  <c r="M4" i="10"/>
  <c r="L5" i="10"/>
  <c r="M5" i="10"/>
  <c r="L6" i="10"/>
  <c r="M6" i="10"/>
  <c r="L7" i="10"/>
  <c r="M7" i="10"/>
  <c r="L8" i="10"/>
  <c r="M8" i="10"/>
  <c r="L9" i="10"/>
  <c r="M9" i="10"/>
  <c r="L10" i="10"/>
  <c r="M10" i="10"/>
  <c r="M11" i="10"/>
  <c r="D28" i="10"/>
  <c r="D29" i="10"/>
  <c r="D30" i="10"/>
  <c r="D31" i="10"/>
  <c r="D32" i="10"/>
  <c r="D33" i="10"/>
  <c r="D27" i="10"/>
  <c r="C28" i="10"/>
  <c r="C29" i="10"/>
  <c r="C30" i="10"/>
  <c r="C31" i="10"/>
  <c r="C32" i="10"/>
  <c r="C33" i="10"/>
  <c r="C27" i="10"/>
  <c r="B28" i="10"/>
  <c r="B29" i="10"/>
  <c r="B30" i="10"/>
  <c r="B31" i="10"/>
  <c r="B32" i="10"/>
  <c r="B33" i="10"/>
  <c r="B27" i="10"/>
  <c r="D46" i="1"/>
  <c r="D3" i="10"/>
  <c r="O3" i="10"/>
  <c r="P3" i="10"/>
  <c r="R3" i="10"/>
  <c r="D4" i="10"/>
  <c r="O4" i="10"/>
  <c r="P4" i="10"/>
  <c r="R4" i="10"/>
  <c r="D5" i="10"/>
  <c r="O5" i="10"/>
  <c r="P5" i="10"/>
  <c r="R5" i="10"/>
  <c r="D6" i="10"/>
  <c r="O6" i="10"/>
  <c r="P6" i="10"/>
  <c r="R6" i="10"/>
  <c r="D7" i="10"/>
  <c r="O7" i="10"/>
  <c r="P7" i="10"/>
  <c r="R7" i="10"/>
  <c r="D8" i="10"/>
  <c r="O8" i="10"/>
  <c r="P8" i="10"/>
  <c r="R8" i="10"/>
  <c r="D9" i="10"/>
  <c r="O9" i="10"/>
  <c r="P9" i="10"/>
  <c r="R9" i="10"/>
  <c r="D10" i="10"/>
  <c r="O10" i="10"/>
  <c r="P10" i="10"/>
  <c r="R10" i="10"/>
  <c r="T3" i="10"/>
  <c r="U3" i="10"/>
  <c r="V3" i="10"/>
  <c r="T4" i="10"/>
  <c r="U4" i="10"/>
  <c r="V4" i="10"/>
  <c r="T5" i="10"/>
  <c r="U5" i="10"/>
  <c r="V5" i="10"/>
  <c r="T6" i="10"/>
  <c r="U6" i="10"/>
  <c r="V6" i="10"/>
  <c r="T7" i="10"/>
  <c r="U7" i="10"/>
  <c r="V7" i="10"/>
  <c r="T8" i="10"/>
  <c r="U8" i="10"/>
  <c r="V8" i="10"/>
  <c r="T9" i="10"/>
  <c r="U9" i="10"/>
  <c r="V9" i="10"/>
  <c r="T10" i="10"/>
  <c r="U10" i="10"/>
  <c r="V10" i="10"/>
  <c r="V11" i="10"/>
  <c r="X3" i="10"/>
  <c r="Y3" i="10"/>
  <c r="X4" i="10"/>
  <c r="Y4" i="10"/>
  <c r="Y11" i="10"/>
  <c r="Y13" i="10"/>
  <c r="M14" i="10"/>
  <c r="K34" i="38"/>
  <c r="L34" i="38"/>
  <c r="K35" i="38"/>
  <c r="L35" i="38"/>
  <c r="K36" i="38"/>
  <c r="L36" i="38"/>
  <c r="K37" i="38"/>
  <c r="L37" i="38"/>
  <c r="K38" i="38"/>
  <c r="L38" i="38"/>
  <c r="K39" i="38"/>
  <c r="L39" i="38"/>
  <c r="K40" i="38"/>
  <c r="L40" i="38"/>
  <c r="K41" i="38"/>
  <c r="L41" i="38"/>
  <c r="K42" i="38"/>
  <c r="L42" i="38"/>
  <c r="K43" i="38"/>
  <c r="L43" i="38"/>
  <c r="K44" i="38"/>
  <c r="L44" i="38"/>
  <c r="K45" i="38"/>
  <c r="L45" i="38"/>
  <c r="K46" i="38"/>
  <c r="L46" i="38"/>
  <c r="K48" i="38"/>
  <c r="L48" i="38"/>
  <c r="K49" i="38"/>
  <c r="L49" i="38"/>
  <c r="K50" i="38"/>
  <c r="L50" i="38"/>
  <c r="K51" i="38"/>
  <c r="L51" i="38"/>
  <c r="K52" i="38"/>
  <c r="L52" i="38"/>
  <c r="K53" i="38"/>
  <c r="L53" i="38"/>
  <c r="L98" i="38"/>
  <c r="BB8" i="10"/>
  <c r="AA8" i="10"/>
  <c r="AA3" i="10"/>
  <c r="AA4" i="10"/>
  <c r="AA5" i="10"/>
  <c r="AA6" i="10"/>
  <c r="AA7" i="10"/>
  <c r="AA9" i="10"/>
  <c r="AA10" i="10"/>
  <c r="AA11" i="10"/>
  <c r="AB8" i="10"/>
  <c r="Z8" i="10"/>
  <c r="X8" i="10"/>
  <c r="Y8" i="10"/>
  <c r="C8" i="10"/>
  <c r="BB7" i="10"/>
  <c r="AB7" i="10"/>
  <c r="Z7" i="10"/>
  <c r="X7" i="10"/>
  <c r="Y7" i="10"/>
  <c r="C7" i="10"/>
  <c r="C10" i="10"/>
  <c r="C9" i="10"/>
  <c r="C6" i="10"/>
  <c r="C16" i="7"/>
  <c r="D9" i="16"/>
  <c r="D12" i="29"/>
  <c r="D13" i="29"/>
  <c r="D16" i="29"/>
  <c r="D17" i="29"/>
  <c r="C3" i="29"/>
  <c r="C4" i="29"/>
  <c r="C5" i="29"/>
  <c r="C6" i="29"/>
  <c r="C7" i="29"/>
  <c r="C8" i="29"/>
  <c r="C9" i="29"/>
  <c r="C10" i="29"/>
  <c r="D10" i="29"/>
  <c r="C11" i="29"/>
  <c r="D11" i="29"/>
  <c r="C12" i="29"/>
  <c r="C13" i="29"/>
  <c r="C14" i="29"/>
  <c r="D14" i="29"/>
  <c r="C15" i="29"/>
  <c r="D15" i="29"/>
  <c r="C16" i="29"/>
  <c r="C17" i="29"/>
  <c r="C18" i="29"/>
  <c r="D18" i="29"/>
  <c r="C19" i="29"/>
  <c r="D19" i="29"/>
  <c r="C20" i="29"/>
  <c r="D20" i="29"/>
  <c r="C21" i="29"/>
  <c r="C22" i="29"/>
  <c r="C23" i="29"/>
  <c r="C24" i="29"/>
  <c r="C25" i="29"/>
  <c r="C26" i="29"/>
  <c r="C27" i="29"/>
  <c r="C28" i="29"/>
  <c r="C29" i="29"/>
  <c r="C30" i="29"/>
  <c r="C31" i="29"/>
  <c r="C32" i="29"/>
  <c r="C33" i="29"/>
  <c r="C34" i="29"/>
  <c r="C35" i="29"/>
  <c r="C36" i="29"/>
  <c r="C37" i="29"/>
  <c r="C2" i="29"/>
  <c r="BB9" i="10"/>
  <c r="X9" i="10"/>
  <c r="Y9" i="10"/>
  <c r="Z9" i="10"/>
  <c r="C3" i="10"/>
  <c r="C4" i="10"/>
  <c r="C5" i="10"/>
  <c r="BB10" i="10"/>
  <c r="BB6" i="10"/>
  <c r="X6" i="10"/>
  <c r="Y6" i="10"/>
  <c r="Z6" i="10"/>
  <c r="X10" i="10"/>
  <c r="Y10" i="10"/>
  <c r="Z10" i="10"/>
  <c r="E36" i="1"/>
  <c r="BB3" i="10"/>
  <c r="H19" i="39"/>
  <c r="J19" i="39"/>
  <c r="K19" i="39"/>
  <c r="BB5" i="10"/>
  <c r="B9" i="39"/>
  <c r="F5" i="39"/>
  <c r="F7" i="39"/>
  <c r="F3" i="39"/>
  <c r="F8" i="39"/>
  <c r="F4" i="39"/>
  <c r="BB17" i="10"/>
  <c r="BB18" i="10"/>
  <c r="BB19" i="10"/>
  <c r="BB20" i="10"/>
  <c r="BB21" i="10"/>
  <c r="BB22" i="10"/>
  <c r="BB23" i="10"/>
  <c r="BB24" i="10"/>
  <c r="BB25" i="10"/>
  <c r="BA26" i="10"/>
  <c r="BA27" i="10"/>
  <c r="BA28" i="10"/>
  <c r="BA29" i="10"/>
  <c r="BA30" i="10"/>
  <c r="BA31" i="10"/>
  <c r="BA32" i="10"/>
  <c r="BB4" i="10"/>
  <c r="BB11" i="10"/>
  <c r="BB12" i="10"/>
  <c r="BB13" i="10"/>
  <c r="BB14" i="10"/>
  <c r="BB15" i="10"/>
  <c r="BB16" i="10"/>
  <c r="D37" i="29"/>
  <c r="D36" i="29"/>
  <c r="D35" i="29"/>
  <c r="D34" i="29"/>
  <c r="D33" i="29"/>
  <c r="D32" i="29"/>
  <c r="D31" i="29"/>
  <c r="D30" i="29"/>
  <c r="D29" i="29"/>
  <c r="D28" i="29"/>
  <c r="D27" i="29"/>
  <c r="D26" i="29"/>
  <c r="D25" i="29"/>
  <c r="D24" i="29"/>
  <c r="D23" i="29"/>
  <c r="D22" i="29"/>
  <c r="D21" i="29"/>
  <c r="D9" i="29"/>
  <c r="D8" i="29"/>
  <c r="D7" i="29"/>
  <c r="D6" i="29"/>
  <c r="D5" i="29"/>
  <c r="D4" i="29"/>
  <c r="D3" i="29"/>
  <c r="D2" i="29"/>
  <c r="E25" i="5"/>
  <c r="I11" i="10"/>
  <c r="BB2" i="10"/>
  <c r="B46" i="1"/>
  <c r="E21" i="16"/>
  <c r="H9" i="13"/>
  <c r="F6" i="13"/>
  <c r="F9" i="13"/>
  <c r="G9" i="13"/>
  <c r="D10" i="13"/>
  <c r="E34" i="5"/>
  <c r="G3" i="13"/>
  <c r="G4" i="13"/>
  <c r="G5" i="13"/>
  <c r="G6" i="13"/>
  <c r="G7" i="13"/>
  <c r="G8" i="13"/>
  <c r="B4" i="14"/>
  <c r="F4" i="13"/>
  <c r="F5" i="13"/>
  <c r="F7" i="13"/>
  <c r="F8" i="13"/>
  <c r="F3" i="13"/>
  <c r="P50" i="6"/>
  <c r="P49" i="6"/>
  <c r="T47" i="6"/>
  <c r="T48" i="6"/>
  <c r="U46" i="6"/>
  <c r="T44" i="6"/>
  <c r="T45" i="6"/>
  <c r="U43" i="6"/>
  <c r="P42" i="6"/>
  <c r="P41" i="6"/>
  <c r="T40" i="6"/>
  <c r="T41" i="6"/>
  <c r="U39" i="6"/>
  <c r="P38" i="6"/>
  <c r="R28" i="6"/>
  <c r="P28" i="6"/>
  <c r="N28" i="6"/>
  <c r="L28" i="6"/>
  <c r="J28" i="6"/>
  <c r="H28" i="6"/>
  <c r="F28" i="6"/>
  <c r="D20" i="6"/>
  <c r="D19" i="6"/>
  <c r="T18" i="6"/>
  <c r="D18" i="6"/>
  <c r="D17" i="6"/>
  <c r="D16" i="6"/>
  <c r="D15" i="6"/>
  <c r="D14" i="6"/>
  <c r="T13" i="6"/>
  <c r="D13" i="6"/>
  <c r="D12" i="6"/>
  <c r="T11" i="6"/>
  <c r="D11" i="6"/>
  <c r="T10" i="6"/>
  <c r="D10" i="6"/>
  <c r="E10" i="6"/>
  <c r="K10" i="6"/>
  <c r="K24" i="6"/>
  <c r="E14" i="21"/>
  <c r="E13" i="21"/>
  <c r="E12" i="21"/>
  <c r="E11" i="21"/>
  <c r="E10" i="21"/>
  <c r="E9" i="21"/>
  <c r="E8" i="21"/>
  <c r="E7" i="21"/>
  <c r="E6" i="21"/>
  <c r="E5" i="21"/>
  <c r="E4" i="21"/>
  <c r="F4" i="21"/>
  <c r="L4" i="21"/>
  <c r="L18" i="21"/>
  <c r="B2" i="37"/>
  <c r="D6" i="37"/>
  <c r="E6" i="37"/>
  <c r="A7" i="37"/>
  <c r="B7" i="37"/>
  <c r="G7" i="37"/>
  <c r="I7" i="37"/>
  <c r="A8" i="37"/>
  <c r="B8" i="37"/>
  <c r="F8" i="37"/>
  <c r="H8" i="37"/>
  <c r="A9" i="37"/>
  <c r="B9" i="37"/>
  <c r="F9" i="37"/>
  <c r="H9" i="37"/>
  <c r="A10" i="37"/>
  <c r="A11" i="37"/>
  <c r="B11" i="37"/>
  <c r="F11" i="37"/>
  <c r="H11" i="37"/>
  <c r="A12" i="37"/>
  <c r="B12" i="37"/>
  <c r="A13" i="37"/>
  <c r="B13" i="37"/>
  <c r="A14" i="37"/>
  <c r="B14" i="37"/>
  <c r="F14" i="37"/>
  <c r="H14" i="37"/>
  <c r="A15" i="37"/>
  <c r="B15" i="37"/>
  <c r="F15" i="37"/>
  <c r="H15" i="37"/>
  <c r="A16" i="37"/>
  <c r="B16" i="37"/>
  <c r="F16" i="37"/>
  <c r="H16" i="37"/>
  <c r="A17" i="37"/>
  <c r="B17" i="37"/>
  <c r="F17" i="37"/>
  <c r="H17" i="37"/>
  <c r="A18" i="37"/>
  <c r="B18" i="37"/>
  <c r="F18" i="37"/>
  <c r="H18" i="37"/>
  <c r="A19" i="37"/>
  <c r="B19" i="37"/>
  <c r="G19" i="37"/>
  <c r="I19" i="37"/>
  <c r="A20" i="37"/>
  <c r="B20" i="37"/>
  <c r="F20" i="37"/>
  <c r="H20" i="37"/>
  <c r="A21" i="37"/>
  <c r="B21" i="37"/>
  <c r="F21" i="37"/>
  <c r="H21" i="37"/>
  <c r="A22" i="37"/>
  <c r="B22" i="37"/>
  <c r="F22" i="37"/>
  <c r="H22" i="37"/>
  <c r="A23" i="37"/>
  <c r="B23" i="37"/>
  <c r="F23" i="37"/>
  <c r="H23" i="37"/>
  <c r="A24" i="37"/>
  <c r="B24" i="37"/>
  <c r="F24" i="37"/>
  <c r="H24" i="37"/>
  <c r="A25" i="37"/>
  <c r="F25" i="37"/>
  <c r="H25" i="37"/>
  <c r="G25" i="37"/>
  <c r="I25" i="37"/>
  <c r="A26" i="37"/>
  <c r="B26" i="37"/>
  <c r="F26" i="37"/>
  <c r="H26" i="37"/>
  <c r="A27" i="37"/>
  <c r="B27" i="37"/>
  <c r="F27" i="37"/>
  <c r="H27" i="37"/>
  <c r="F31" i="37"/>
  <c r="G31" i="37"/>
  <c r="B35" i="37"/>
  <c r="G35" i="37"/>
  <c r="D35" i="37"/>
  <c r="B36" i="37"/>
  <c r="G36" i="37"/>
  <c r="D36" i="37"/>
  <c r="B37" i="37"/>
  <c r="G37" i="37"/>
  <c r="D37" i="37"/>
  <c r="B38" i="37"/>
  <c r="G38" i="37"/>
  <c r="D38" i="37"/>
  <c r="D39" i="37"/>
  <c r="G39" i="37"/>
  <c r="B40" i="37"/>
  <c r="G40" i="37"/>
  <c r="D40" i="37"/>
  <c r="B41" i="37"/>
  <c r="G41" i="37"/>
  <c r="D41" i="37"/>
  <c r="B42" i="37"/>
  <c r="D42" i="37"/>
  <c r="F42" i="37"/>
  <c r="D43" i="37"/>
  <c r="G43" i="37"/>
  <c r="D44" i="37"/>
  <c r="B44" i="37"/>
  <c r="G44" i="37"/>
  <c r="D45" i="37"/>
  <c r="B45" i="37"/>
  <c r="G45" i="37"/>
  <c r="D46" i="37"/>
  <c r="B46" i="37"/>
  <c r="G46" i="37"/>
  <c r="B47" i="37"/>
  <c r="G47" i="37"/>
  <c r="D47" i="37"/>
  <c r="D48" i="37"/>
  <c r="B48" i="37"/>
  <c r="G48" i="37"/>
  <c r="B49" i="37"/>
  <c r="G49" i="37"/>
  <c r="D49" i="37"/>
  <c r="D50" i="37"/>
  <c r="B50" i="37"/>
  <c r="G50" i="37"/>
  <c r="D51" i="37"/>
  <c r="B51" i="37"/>
  <c r="G51" i="37"/>
  <c r="D52" i="37"/>
  <c r="B52" i="37"/>
  <c r="G52" i="37"/>
  <c r="D53" i="37"/>
  <c r="B53" i="37"/>
  <c r="G53" i="37"/>
  <c r="D54" i="37"/>
  <c r="B54" i="37"/>
  <c r="G54" i="37"/>
  <c r="D55" i="37"/>
  <c r="B55" i="37"/>
  <c r="G55" i="37"/>
  <c r="E58" i="37"/>
  <c r="C2" i="37"/>
  <c r="A8" i="35"/>
  <c r="A9" i="35"/>
  <c r="A10" i="35"/>
  <c r="A11" i="35"/>
  <c r="A12" i="35"/>
  <c r="A13" i="35"/>
  <c r="A14" i="35"/>
  <c r="A15" i="35"/>
  <c r="A16" i="35"/>
  <c r="A17" i="35"/>
  <c r="A18" i="35"/>
  <c r="A19" i="35"/>
  <c r="A20" i="35"/>
  <c r="A21" i="35"/>
  <c r="A22" i="35"/>
  <c r="A23" i="35"/>
  <c r="A24" i="35"/>
  <c r="A25" i="35"/>
  <c r="A26" i="35"/>
  <c r="A27" i="35"/>
  <c r="A28" i="35"/>
  <c r="A29" i="35"/>
  <c r="A30" i="35"/>
  <c r="A31" i="35"/>
  <c r="A32" i="35"/>
  <c r="A33" i="35"/>
  <c r="A34" i="35"/>
  <c r="A35" i="35"/>
  <c r="A36" i="35"/>
  <c r="A37" i="35"/>
  <c r="A38" i="35"/>
  <c r="A39" i="35"/>
  <c r="F6" i="35"/>
  <c r="I19" i="35"/>
  <c r="H21" i="35"/>
  <c r="K23" i="35"/>
  <c r="K25" i="35"/>
  <c r="G26" i="35"/>
  <c r="H26" i="35"/>
  <c r="I26" i="35"/>
  <c r="J26" i="35"/>
  <c r="H29" i="35"/>
  <c r="K31" i="35"/>
  <c r="K33" i="35"/>
  <c r="G34" i="35"/>
  <c r="H34" i="35"/>
  <c r="I34" i="35"/>
  <c r="J34" i="35"/>
  <c r="C8" i="34"/>
  <c r="D8" i="34"/>
  <c r="E8" i="34"/>
  <c r="F8" i="34"/>
  <c r="C9" i="34"/>
  <c r="D9" i="34"/>
  <c r="E9" i="34"/>
  <c r="C10" i="34"/>
  <c r="D10" i="34"/>
  <c r="E10" i="34"/>
  <c r="C11" i="34"/>
  <c r="D11" i="34"/>
  <c r="E11" i="34"/>
  <c r="C12" i="34"/>
  <c r="D12" i="34"/>
  <c r="E12" i="34"/>
  <c r="C13" i="34"/>
  <c r="D13" i="34"/>
  <c r="E13" i="34"/>
  <c r="D20" i="34"/>
  <c r="E20" i="34"/>
  <c r="F20" i="34"/>
  <c r="G20" i="34"/>
  <c r="D21" i="34"/>
  <c r="E21" i="34"/>
  <c r="F21" i="34"/>
  <c r="G21" i="34"/>
  <c r="D22" i="34"/>
  <c r="E22" i="34"/>
  <c r="G22" i="34"/>
  <c r="D23" i="34"/>
  <c r="E23" i="34"/>
  <c r="F23" i="34"/>
  <c r="G23" i="34"/>
  <c r="I23" i="34"/>
  <c r="D24" i="34"/>
  <c r="E24" i="34"/>
  <c r="F24" i="34"/>
  <c r="G24" i="34"/>
  <c r="I24" i="34"/>
  <c r="D25" i="34"/>
  <c r="E25" i="34"/>
  <c r="F25" i="34"/>
  <c r="G25" i="34"/>
  <c r="I25" i="34"/>
  <c r="D26" i="34"/>
  <c r="E26" i="34"/>
  <c r="G26" i="34"/>
  <c r="D27" i="34"/>
  <c r="E27" i="34"/>
  <c r="F27" i="34"/>
  <c r="G27" i="34"/>
  <c r="D28" i="34"/>
  <c r="E28" i="34"/>
  <c r="F28" i="34"/>
  <c r="G28" i="34"/>
  <c r="D29" i="34"/>
  <c r="E29" i="34"/>
  <c r="F29" i="34"/>
  <c r="G29" i="34"/>
  <c r="D30" i="34"/>
  <c r="E30" i="34"/>
  <c r="F30" i="34"/>
  <c r="G30" i="34"/>
  <c r="D31" i="34"/>
  <c r="E31" i="34"/>
  <c r="F31" i="34"/>
  <c r="G31" i="34"/>
  <c r="D32" i="34"/>
  <c r="E32" i="34"/>
  <c r="F32" i="34"/>
  <c r="G32" i="34"/>
  <c r="D33" i="34"/>
  <c r="E33" i="34"/>
  <c r="F33" i="34"/>
  <c r="G33" i="34"/>
  <c r="D34" i="34"/>
  <c r="E34" i="34"/>
  <c r="F34" i="34"/>
  <c r="G34" i="34"/>
  <c r="D35" i="34"/>
  <c r="E35" i="34"/>
  <c r="G35" i="34"/>
  <c r="D36" i="34"/>
  <c r="E36" i="34"/>
  <c r="G36" i="34"/>
  <c r="D37" i="34"/>
  <c r="E37" i="34"/>
  <c r="F37" i="34"/>
  <c r="G37" i="34"/>
  <c r="D38" i="34"/>
  <c r="E38" i="34"/>
  <c r="F38" i="34"/>
  <c r="G38" i="34"/>
  <c r="D39" i="34"/>
  <c r="E39" i="34"/>
  <c r="G39" i="34"/>
  <c r="D40" i="34"/>
  <c r="E40" i="34"/>
  <c r="F40" i="34"/>
  <c r="G40" i="34"/>
  <c r="E12" i="33"/>
  <c r="G12" i="33"/>
  <c r="G13" i="33"/>
  <c r="D15" i="33"/>
  <c r="F15" i="33"/>
  <c r="D16" i="33"/>
  <c r="F16" i="33"/>
  <c r="D17" i="33"/>
  <c r="F17" i="33"/>
  <c r="D18" i="33"/>
  <c r="F18" i="33"/>
  <c r="E19" i="33"/>
  <c r="U4" i="21"/>
  <c r="U5" i="21"/>
  <c r="U7" i="21"/>
  <c r="U12" i="21"/>
  <c r="G22" i="21"/>
  <c r="I22" i="21"/>
  <c r="K22" i="21"/>
  <c r="M22" i="21"/>
  <c r="O22" i="21"/>
  <c r="Q22" i="21"/>
  <c r="S22" i="21"/>
  <c r="Q32" i="21"/>
  <c r="V33" i="21"/>
  <c r="U34" i="21"/>
  <c r="V34" i="21"/>
  <c r="Q35" i="21"/>
  <c r="Q36" i="21"/>
  <c r="V37" i="21"/>
  <c r="U38" i="21"/>
  <c r="V38" i="21"/>
  <c r="V40" i="21"/>
  <c r="U41" i="21"/>
  <c r="V41" i="21"/>
  <c r="Q43" i="21"/>
  <c r="Q44" i="21"/>
  <c r="B32" i="37"/>
  <c r="B25" i="4"/>
  <c r="B5" i="4"/>
  <c r="I2" i="16"/>
  <c r="I11" i="16"/>
  <c r="B27" i="16"/>
  <c r="G27" i="16"/>
  <c r="E9" i="16"/>
  <c r="C15" i="16"/>
  <c r="F15" i="16"/>
  <c r="G15" i="16"/>
  <c r="B15" i="16"/>
  <c r="F7" i="16"/>
  <c r="G7" i="16"/>
  <c r="C2" i="16"/>
  <c r="J2" i="16"/>
  <c r="C4" i="16"/>
  <c r="C3" i="16"/>
  <c r="E12" i="16"/>
  <c r="E11" i="16"/>
  <c r="E10" i="16"/>
  <c r="E24" i="16"/>
  <c r="B21" i="16"/>
  <c r="E14" i="16"/>
  <c r="E13" i="16"/>
  <c r="E6" i="16"/>
  <c r="E7" i="16"/>
  <c r="B6" i="16"/>
  <c r="B4" i="16"/>
  <c r="B3" i="16"/>
  <c r="L21" i="37"/>
  <c r="U39" i="21"/>
  <c r="F5" i="21"/>
  <c r="T5" i="21"/>
  <c r="D19" i="33"/>
  <c r="D22" i="33"/>
  <c r="F12" i="21"/>
  <c r="R12" i="21"/>
  <c r="R21" i="21"/>
  <c r="E18" i="6"/>
  <c r="Q18" i="6"/>
  <c r="Q27" i="6"/>
  <c r="L16" i="37"/>
  <c r="J16" i="37"/>
  <c r="F12" i="37"/>
  <c r="H12" i="37"/>
  <c r="L12" i="37"/>
  <c r="J12" i="37"/>
  <c r="F7" i="21"/>
  <c r="R7" i="21"/>
  <c r="R20" i="21"/>
  <c r="L26" i="37"/>
  <c r="J26" i="37"/>
  <c r="F19" i="37"/>
  <c r="H19" i="37"/>
  <c r="L19" i="37"/>
  <c r="L47" i="37"/>
  <c r="F13" i="37"/>
  <c r="H13" i="37"/>
  <c r="L13" i="37"/>
  <c r="F7" i="37"/>
  <c r="H7" i="37"/>
  <c r="V42" i="21"/>
  <c r="G9" i="37"/>
  <c r="I9" i="37"/>
  <c r="M9" i="37"/>
  <c r="M19" i="37"/>
  <c r="K19" i="37"/>
  <c r="B10" i="37"/>
  <c r="F10" i="37"/>
  <c r="H10" i="37"/>
  <c r="U42" i="21"/>
  <c r="V39" i="21"/>
  <c r="G27" i="37"/>
  <c r="I27" i="37"/>
  <c r="M27" i="37"/>
  <c r="G17" i="37"/>
  <c r="I17" i="37"/>
  <c r="M17" i="37"/>
  <c r="K17" i="37"/>
  <c r="G8" i="37"/>
  <c r="I8" i="37"/>
  <c r="M8" i="37"/>
  <c r="K8" i="37"/>
  <c r="L25" i="37"/>
  <c r="J25" i="37"/>
  <c r="L24" i="37"/>
  <c r="L52" i="37"/>
  <c r="U35" i="21"/>
  <c r="K26" i="35"/>
  <c r="L27" i="37"/>
  <c r="L55" i="37"/>
  <c r="G23" i="37"/>
  <c r="I23" i="37"/>
  <c r="M23" i="37"/>
  <c r="K23" i="37"/>
  <c r="L20" i="37"/>
  <c r="J20" i="37"/>
  <c r="L17" i="37"/>
  <c r="L45" i="37"/>
  <c r="G15" i="37"/>
  <c r="I15" i="37"/>
  <c r="M15" i="37"/>
  <c r="K15" i="37"/>
  <c r="G11" i="37"/>
  <c r="I11" i="37"/>
  <c r="M11" i="37"/>
  <c r="K11" i="37"/>
  <c r="E13" i="6"/>
  <c r="Q13" i="6"/>
  <c r="Q26" i="6"/>
  <c r="K34" i="35"/>
  <c r="G42" i="37"/>
  <c r="G21" i="37"/>
  <c r="I21" i="37"/>
  <c r="M21" i="37"/>
  <c r="K21" i="37"/>
  <c r="G13" i="37"/>
  <c r="I13" i="37"/>
  <c r="M13" i="37"/>
  <c r="K13" i="37"/>
  <c r="G12" i="37"/>
  <c r="I12" i="37"/>
  <c r="M12" i="37"/>
  <c r="K12" i="37"/>
  <c r="E11" i="6"/>
  <c r="S11" i="6"/>
  <c r="L23" i="37"/>
  <c r="J23" i="37"/>
  <c r="L22" i="37"/>
  <c r="J22" i="37"/>
  <c r="L18" i="37"/>
  <c r="J18" i="37"/>
  <c r="L15" i="37"/>
  <c r="J15" i="37"/>
  <c r="L14" i="37"/>
  <c r="J14" i="37"/>
  <c r="L11" i="37"/>
  <c r="J11" i="37"/>
  <c r="L10" i="37"/>
  <c r="J10" i="37"/>
  <c r="L9" i="37"/>
  <c r="J9" i="37"/>
  <c r="L8" i="37"/>
  <c r="J8" i="37"/>
  <c r="L7" i="37"/>
  <c r="L35" i="37"/>
  <c r="M25" i="37"/>
  <c r="M53" i="37"/>
  <c r="V35" i="21"/>
  <c r="T35" i="21"/>
  <c r="P35" i="21"/>
  <c r="G24" i="37"/>
  <c r="I24" i="37"/>
  <c r="M24" i="37"/>
  <c r="K24" i="37"/>
  <c r="G22" i="37"/>
  <c r="I22" i="37"/>
  <c r="M22" i="37"/>
  <c r="G20" i="37"/>
  <c r="I20" i="37"/>
  <c r="M20" i="37"/>
  <c r="K20" i="37"/>
  <c r="G18" i="37"/>
  <c r="I18" i="37"/>
  <c r="M18" i="37"/>
  <c r="G16" i="37"/>
  <c r="I16" i="37"/>
  <c r="M16" i="37"/>
  <c r="K16" i="37"/>
  <c r="G14" i="37"/>
  <c r="I14" i="37"/>
  <c r="M14" i="37"/>
  <c r="K14" i="37"/>
  <c r="G10" i="37"/>
  <c r="I10" i="37"/>
  <c r="M10" i="37"/>
  <c r="K10" i="37"/>
  <c r="M7" i="37"/>
  <c r="K7" i="37"/>
  <c r="U44" i="6"/>
  <c r="U45" i="6"/>
  <c r="S45" i="6"/>
  <c r="O45" i="6"/>
  <c r="U47" i="6"/>
  <c r="U48" i="6"/>
  <c r="S48" i="6"/>
  <c r="O48" i="6"/>
  <c r="I10" i="6"/>
  <c r="I24" i="6"/>
  <c r="G13" i="6"/>
  <c r="K13" i="6"/>
  <c r="K26" i="6"/>
  <c r="U40" i="6"/>
  <c r="U41" i="6"/>
  <c r="S41" i="6"/>
  <c r="O41" i="6"/>
  <c r="G10" i="6"/>
  <c r="G24" i="6"/>
  <c r="O11" i="6"/>
  <c r="M13" i="6"/>
  <c r="M26" i="6"/>
  <c r="J4" i="21"/>
  <c r="J18" i="21"/>
  <c r="N5" i="21"/>
  <c r="N19" i="21"/>
  <c r="R5" i="21"/>
  <c r="H7" i="21"/>
  <c r="L7" i="21"/>
  <c r="L20" i="21"/>
  <c r="P7" i="21"/>
  <c r="P20" i="21"/>
  <c r="T7" i="21"/>
  <c r="H12" i="21"/>
  <c r="L12" i="21"/>
  <c r="L21" i="21"/>
  <c r="P12" i="21"/>
  <c r="P21" i="21"/>
  <c r="T12" i="21"/>
  <c r="T21" i="21"/>
  <c r="H4" i="21"/>
  <c r="H18" i="21"/>
  <c r="L5" i="21"/>
  <c r="L19" i="21"/>
  <c r="P5" i="21"/>
  <c r="J7" i="21"/>
  <c r="J20" i="21"/>
  <c r="N7" i="21"/>
  <c r="N20" i="21"/>
  <c r="J12" i="21"/>
  <c r="J21" i="21"/>
  <c r="N12" i="21"/>
  <c r="N21" i="21"/>
  <c r="J21" i="37"/>
  <c r="L49" i="37"/>
  <c r="L44" i="37"/>
  <c r="G26" i="37"/>
  <c r="I26" i="37"/>
  <c r="M26" i="37"/>
  <c r="K26" i="37"/>
  <c r="M45" i="37"/>
  <c r="M41" i="37"/>
  <c r="F23" i="35"/>
  <c r="F31" i="35"/>
  <c r="J13" i="33"/>
  <c r="J10" i="16"/>
  <c r="J12" i="16"/>
  <c r="J14" i="16"/>
  <c r="J4" i="16"/>
  <c r="J6" i="16"/>
  <c r="J9" i="16"/>
  <c r="J11" i="16"/>
  <c r="J13" i="16"/>
  <c r="J5" i="16"/>
  <c r="J3" i="16"/>
  <c r="K11" i="16"/>
  <c r="I6" i="16"/>
  <c r="I4" i="16"/>
  <c r="I14" i="16"/>
  <c r="I12" i="16"/>
  <c r="I10" i="16"/>
  <c r="I3" i="16"/>
  <c r="I5" i="16"/>
  <c r="K2" i="16"/>
  <c r="I9" i="16"/>
  <c r="I13" i="16"/>
  <c r="E27" i="16"/>
  <c r="E15" i="16"/>
  <c r="E17" i="16"/>
  <c r="B8" i="4"/>
  <c r="C7" i="16"/>
  <c r="C17" i="16"/>
  <c r="B7" i="16"/>
  <c r="B17" i="16"/>
  <c r="G17" i="16"/>
  <c r="F17" i="16"/>
  <c r="D4" i="16"/>
  <c r="D3" i="16"/>
  <c r="D13" i="16"/>
  <c r="D11" i="16"/>
  <c r="D5" i="16"/>
  <c r="D14" i="16"/>
  <c r="D12" i="16"/>
  <c r="D10" i="16"/>
  <c r="D6" i="16"/>
  <c r="B5" i="14"/>
  <c r="B9" i="14"/>
  <c r="I18" i="6"/>
  <c r="I27" i="6"/>
  <c r="L54" i="37"/>
  <c r="J27" i="37"/>
  <c r="M43" i="37"/>
  <c r="H5" i="21"/>
  <c r="H19" i="21"/>
  <c r="H23" i="21"/>
  <c r="J5" i="21"/>
  <c r="J19" i="21"/>
  <c r="J24" i="21"/>
  <c r="I11" i="6"/>
  <c r="I25" i="6"/>
  <c r="D23" i="33"/>
  <c r="K25" i="37"/>
  <c r="J17" i="37"/>
  <c r="K18" i="6"/>
  <c r="K27" i="6"/>
  <c r="S18" i="6"/>
  <c r="S27" i="6"/>
  <c r="S29" i="6"/>
  <c r="J45" i="6"/>
  <c r="T39" i="21"/>
  <c r="P39" i="21"/>
  <c r="J7" i="37"/>
  <c r="G18" i="6"/>
  <c r="M18" i="6"/>
  <c r="M27" i="6"/>
  <c r="J24" i="37"/>
  <c r="Q30" i="6"/>
  <c r="K9" i="37"/>
  <c r="M37" i="37"/>
  <c r="L41" i="37"/>
  <c r="J13" i="37"/>
  <c r="J19" i="37"/>
  <c r="I13" i="6"/>
  <c r="I26" i="6"/>
  <c r="I30" i="6"/>
  <c r="S13" i="6"/>
  <c r="O18" i="6"/>
  <c r="O27" i="6"/>
  <c r="L53" i="37"/>
  <c r="O13" i="6"/>
  <c r="O26" i="6"/>
  <c r="L46" i="37"/>
  <c r="K11" i="6"/>
  <c r="K25" i="6"/>
  <c r="K29" i="6"/>
  <c r="J41" i="6"/>
  <c r="Q11" i="6"/>
  <c r="M47" i="37"/>
  <c r="G11" i="6"/>
  <c r="G25" i="6"/>
  <c r="G29" i="6"/>
  <c r="M11" i="6"/>
  <c r="M25" i="6"/>
  <c r="M30" i="6"/>
  <c r="T42" i="21"/>
  <c r="P42" i="21"/>
  <c r="L50" i="37"/>
  <c r="L37" i="37"/>
  <c r="L43" i="37"/>
  <c r="L51" i="37"/>
  <c r="M49" i="37"/>
  <c r="K36" i="35"/>
  <c r="M51" i="37"/>
  <c r="M52" i="37"/>
  <c r="M44" i="37"/>
  <c r="K5" i="16"/>
  <c r="K10" i="16"/>
  <c r="K14" i="16"/>
  <c r="K6" i="16"/>
  <c r="J7" i="16"/>
  <c r="D30" i="16"/>
  <c r="Q29" i="6"/>
  <c r="J44" i="6"/>
  <c r="K18" i="37"/>
  <c r="M46" i="37"/>
  <c r="K22" i="37"/>
  <c r="M50" i="37"/>
  <c r="M54" i="37"/>
  <c r="M35" i="37"/>
  <c r="S30" i="6"/>
  <c r="R31" i="6"/>
  <c r="R32" i="6"/>
  <c r="K27" i="37"/>
  <c r="M55" i="37"/>
  <c r="J23" i="21"/>
  <c r="K34" i="21"/>
  <c r="H24" i="21"/>
  <c r="G25" i="21"/>
  <c r="N24" i="21"/>
  <c r="N23" i="21"/>
  <c r="K36" i="21"/>
  <c r="R24" i="21"/>
  <c r="R23" i="21"/>
  <c r="K38" i="21"/>
  <c r="H24" i="35"/>
  <c r="J24" i="35"/>
  <c r="H32" i="35"/>
  <c r="J32" i="35"/>
  <c r="G24" i="35"/>
  <c r="I24" i="35"/>
  <c r="G32" i="35"/>
  <c r="I32" i="35"/>
  <c r="L23" i="21"/>
  <c r="K35" i="21"/>
  <c r="L24" i="21"/>
  <c r="P23" i="21"/>
  <c r="K37" i="21"/>
  <c r="P24" i="21"/>
  <c r="T23" i="21"/>
  <c r="K39" i="21"/>
  <c r="T24" i="21"/>
  <c r="S25" i="21"/>
  <c r="S26" i="21"/>
  <c r="I7" i="16"/>
  <c r="K3" i="16"/>
  <c r="K13" i="16"/>
  <c r="K12" i="16"/>
  <c r="K4" i="16"/>
  <c r="K9" i="16"/>
  <c r="I15" i="16"/>
  <c r="J15" i="16"/>
  <c r="D15" i="16"/>
  <c r="D7" i="16"/>
  <c r="E22" i="5"/>
  <c r="E13" i="5"/>
  <c r="E14" i="5"/>
  <c r="E15" i="5"/>
  <c r="E16" i="5"/>
  <c r="E17" i="5"/>
  <c r="E18" i="5"/>
  <c r="E19" i="5"/>
  <c r="E20" i="5"/>
  <c r="D21" i="5"/>
  <c r="E21" i="5"/>
  <c r="E42" i="5"/>
  <c r="E43" i="5"/>
  <c r="G30" i="6"/>
  <c r="F31" i="6"/>
  <c r="O29" i="6"/>
  <c r="J43" i="6"/>
  <c r="I29" i="6"/>
  <c r="J40" i="6"/>
  <c r="O30" i="6"/>
  <c r="L31" i="6"/>
  <c r="L32" i="6"/>
  <c r="M29" i="6"/>
  <c r="J42" i="6"/>
  <c r="K30" i="6"/>
  <c r="H31" i="6"/>
  <c r="H32" i="6"/>
  <c r="J17" i="16"/>
  <c r="D17" i="16"/>
  <c r="B7" i="4"/>
  <c r="E44" i="5"/>
  <c r="K32" i="35"/>
  <c r="K24" i="35"/>
  <c r="E39" i="5"/>
  <c r="J39" i="6"/>
  <c r="F34" i="6"/>
  <c r="G34" i="6"/>
  <c r="F32" i="6"/>
  <c r="E30" i="21"/>
  <c r="E31" i="21"/>
  <c r="K33" i="21"/>
  <c r="K40" i="21"/>
  <c r="K41" i="21"/>
  <c r="M25" i="21"/>
  <c r="M26" i="21"/>
  <c r="I25" i="21"/>
  <c r="I26" i="21"/>
  <c r="K47" i="21"/>
  <c r="G28" i="21"/>
  <c r="H28" i="21"/>
  <c r="G26" i="21"/>
  <c r="I17" i="16"/>
  <c r="K7" i="16"/>
  <c r="K15" i="16"/>
  <c r="E23" i="5"/>
  <c r="E24" i="5"/>
  <c r="D29" i="1"/>
  <c r="B14" i="4"/>
  <c r="J46" i="6"/>
  <c r="J47" i="6"/>
  <c r="D36" i="6"/>
  <c r="D37" i="6"/>
  <c r="J48" i="6"/>
  <c r="T32" i="6"/>
  <c r="T31" i="6"/>
  <c r="U26" i="21"/>
  <c r="K17" i="16"/>
  <c r="E26" i="5"/>
  <c r="D26" i="5"/>
  <c r="J53" i="6"/>
  <c r="J50" i="6"/>
  <c r="J49" i="6"/>
  <c r="U25" i="21"/>
  <c r="K43" i="21"/>
  <c r="K44" i="21"/>
  <c r="K42" i="21"/>
  <c r="J51" i="6"/>
  <c r="K45" i="21"/>
  <c r="E27" i="5"/>
  <c r="D27" i="5"/>
  <c r="D28" i="5"/>
  <c r="E28" i="5"/>
  <c r="X5" i="10"/>
  <c r="Y5" i="10"/>
  <c r="B30" i="5"/>
  <c r="I31" i="5"/>
  <c r="H8" i="13"/>
  <c r="E39" i="1"/>
  <c r="J12" i="10"/>
  <c r="J13" i="10"/>
  <c r="Z3" i="10"/>
  <c r="Z5" i="10"/>
  <c r="Z4" i="10"/>
  <c r="D51" i="1"/>
  <c r="AB9" i="10"/>
  <c r="AB10" i="10"/>
  <c r="AB6" i="10"/>
  <c r="D27" i="1"/>
  <c r="AB5" i="10"/>
  <c r="AB4" i="10"/>
  <c r="AB3" i="10"/>
  <c r="AB11" i="10"/>
  <c r="D15" i="11"/>
  <c r="D28" i="1"/>
  <c r="D26" i="1"/>
  <c r="D44" i="1"/>
  <c r="D45" i="1"/>
  <c r="D30" i="1"/>
  <c r="D35" i="1"/>
  <c r="D37" i="1"/>
  <c r="H5" i="13"/>
  <c r="H4" i="13"/>
  <c r="H6" i="13"/>
  <c r="H7" i="13"/>
  <c r="E3" i="14"/>
  <c r="H3" i="13"/>
  <c r="H10" i="13"/>
  <c r="D31" i="1"/>
  <c r="D50" i="1"/>
  <c r="F4" i="7"/>
  <c r="E8" i="7"/>
  <c r="E9" i="7"/>
  <c r="E10" i="7"/>
  <c r="E11" i="7"/>
  <c r="E12" i="7"/>
  <c r="E13" i="7"/>
  <c r="E14" i="7"/>
  <c r="E15" i="7"/>
  <c r="E16" i="7"/>
  <c r="E4" i="14"/>
  <c r="E5" i="14"/>
  <c r="E9" i="14"/>
  <c r="E37" i="4"/>
  <c r="F37" i="4"/>
  <c r="E38" i="4"/>
  <c r="F38" i="4"/>
  <c r="E39" i="4"/>
  <c r="F39" i="4"/>
  <c r="E40" i="4"/>
  <c r="F40" i="4"/>
  <c r="E41" i="4"/>
  <c r="F41" i="4"/>
  <c r="E42" i="4"/>
  <c r="F42" i="4"/>
  <c r="E43" i="4"/>
  <c r="F43" i="4"/>
  <c r="E44" i="4"/>
  <c r="F44" i="4"/>
  <c r="E45" i="4"/>
  <c r="F45" i="4"/>
  <c r="E46" i="4"/>
  <c r="F46" i="4"/>
  <c r="E47" i="4"/>
  <c r="F47" i="4"/>
  <c r="E48" i="4"/>
  <c r="F48" i="4"/>
  <c r="E49" i="4"/>
  <c r="F49" i="4"/>
  <c r="E50" i="4"/>
  <c r="F50" i="4"/>
  <c r="E51" i="4"/>
  <c r="F51" i="4"/>
  <c r="E52" i="4"/>
  <c r="F52" i="4"/>
  <c r="E53" i="4"/>
  <c r="F53" i="4"/>
  <c r="E54" i="4"/>
  <c r="F54" i="4"/>
  <c r="E55" i="4"/>
  <c r="F55" i="4"/>
  <c r="E56" i="4"/>
  <c r="F56" i="4"/>
  <c r="E57" i="4"/>
  <c r="F57" i="4"/>
  <c r="E58" i="4"/>
  <c r="F58" i="4"/>
  <c r="E59" i="4"/>
  <c r="F59" i="4"/>
  <c r="E60" i="4"/>
  <c r="F60" i="4"/>
  <c r="E61" i="4"/>
  <c r="F61" i="4"/>
  <c r="E62" i="4"/>
  <c r="F62" i="4"/>
  <c r="E63" i="4"/>
  <c r="F63" i="4"/>
  <c r="E64" i="4"/>
  <c r="F64" i="4"/>
  <c r="E65" i="4"/>
  <c r="F65" i="4"/>
  <c r="E66" i="4"/>
  <c r="F66" i="4"/>
  <c r="F67" i="4"/>
  <c r="F26" i="1"/>
  <c r="F27" i="1"/>
  <c r="F28" i="1"/>
  <c r="F29" i="1"/>
  <c r="F30" i="1"/>
  <c r="F31" i="1"/>
  <c r="D32" i="1"/>
  <c r="F32" i="1"/>
  <c r="D33" i="1"/>
  <c r="D34" i="1"/>
  <c r="F34" i="1"/>
  <c r="D36" i="1"/>
  <c r="F36" i="1"/>
  <c r="D38" i="1"/>
  <c r="D39" i="1"/>
  <c r="F39" i="1"/>
  <c r="D41" i="1"/>
  <c r="D49" i="1"/>
</calcChain>
</file>

<file path=xl/comments1.xml><?xml version="1.0" encoding="utf-8"?>
<comments xmlns="http://schemas.openxmlformats.org/spreadsheetml/2006/main">
  <authors>
    <author/>
  </authors>
  <commentList>
    <comment ref="F18" authorId="0" shapeId="0">
      <text>
        <r>
          <rPr>
            <sz val="8"/>
            <color indexed="8"/>
            <rFont val="Tahoma"/>
            <family val="2"/>
          </rPr>
          <t>Los Tipos de contratación pueden ser:
- Precio Fijo.
- Tiempo y Material.
- Fijo por fases.</t>
        </r>
      </text>
    </comment>
  </commentList>
</comments>
</file>

<file path=xl/comments2.xml><?xml version="1.0" encoding="utf-8"?>
<comments xmlns="http://schemas.openxmlformats.org/spreadsheetml/2006/main">
  <authors>
    <author/>
  </authors>
  <commentList>
    <comment ref="A1" authorId="0" shapeId="0">
      <text>
        <r>
          <rPr>
            <b/>
            <sz val="8"/>
            <color indexed="8"/>
            <rFont val="Tahoma"/>
            <family val="2"/>
          </rPr>
          <t xml:space="preserve">HEINSOHN:
</t>
        </r>
        <r>
          <rPr>
            <sz val="8"/>
            <color indexed="8"/>
            <rFont val="Tahoma"/>
            <family val="2"/>
          </rPr>
          <t>Incluye contratistas y personal de cooperativas</t>
        </r>
      </text>
    </comment>
    <comment ref="B2" authorId="0" shapeId="0">
      <text>
        <r>
          <rPr>
            <b/>
            <sz val="8"/>
            <color indexed="8"/>
            <rFont val="Tahoma"/>
            <family val="2"/>
          </rPr>
          <t xml:space="preserve">HEINSOHN:
</t>
        </r>
        <r>
          <rPr>
            <sz val="8"/>
            <color indexed="8"/>
            <rFont val="Tahoma"/>
            <family val="2"/>
          </rPr>
          <t>Se llena para las casillas en que aplica, es decir donde ya está identificado el recurso que asume dicho perfil.  Si se quiere detallar cada recurso y dichos recursos tienen diferencia en salarios copie la fila correspondiente y modifique la duración y el nro. de recursos.</t>
        </r>
      </text>
    </comment>
    <comment ref="C2" authorId="0" shapeId="0">
      <text>
        <r>
          <rPr>
            <b/>
            <sz val="8"/>
            <color indexed="8"/>
            <rFont val="Tahoma"/>
            <family val="2"/>
          </rPr>
          <t xml:space="preserve">HEINSOHN:
</t>
        </r>
        <r>
          <rPr>
            <sz val="8"/>
            <color indexed="8"/>
            <rFont val="Tahoma"/>
            <family val="2"/>
          </rPr>
          <t>Salario que se maneja actualmente en la compañía para este perfil del recurso.  Es solo una guia de comparación con el salario real con el que están contratando los recursos de este perfil en el mercado.  No es la columna que se utiliza en los cálculos.</t>
        </r>
      </text>
    </comment>
    <comment ref="D2" authorId="0" shapeId="0">
      <text>
        <r>
          <rPr>
            <b/>
            <sz val="8"/>
            <color indexed="8"/>
            <rFont val="Tahoma"/>
            <family val="2"/>
          </rPr>
          <t xml:space="preserve">HEINSOHN:
</t>
        </r>
        <r>
          <rPr>
            <sz val="8"/>
            <color indexed="8"/>
            <rFont val="Tahoma"/>
            <family val="2"/>
          </rPr>
          <t>Si cree que el salario es el de la guia colóquelo igual, de otra forma coloque el salario que tiene el recurso o el que considera con el que se cosigue en el mercado.  Es la columna que se utiliza en los cálculos de costos del recurso.</t>
        </r>
      </text>
    </comment>
    <comment ref="F2" authorId="0" shapeId="0">
      <text>
        <r>
          <rPr>
            <b/>
            <sz val="8"/>
            <color indexed="8"/>
            <rFont val="Tahoma"/>
            <family val="2"/>
          </rPr>
          <t xml:space="preserve">HEINSOHN:
</t>
        </r>
        <r>
          <rPr>
            <sz val="8"/>
            <color indexed="8"/>
            <rFont val="Tahoma"/>
            <family val="2"/>
          </rPr>
          <t>Duración, corresponde al nro. total de meses que el recurso estaría asignado al proyecto, independiente de la dedicación.</t>
        </r>
      </text>
    </comment>
    <comment ref="G2" authorId="0" shapeId="0">
      <text>
        <r>
          <rPr>
            <b/>
            <sz val="8"/>
            <color indexed="8"/>
            <rFont val="Tahoma"/>
            <family val="2"/>
          </rPr>
          <t xml:space="preserve">HEINSOHN:
</t>
        </r>
        <r>
          <rPr>
            <sz val="8"/>
            <color indexed="8"/>
            <rFont val="Tahoma"/>
            <family val="2"/>
          </rPr>
          <t>% de tiempo en que el recurso estaría dedicado al proyecto en la duración estimada en la columna anterior.</t>
        </r>
      </text>
    </comment>
    <comment ref="H2" authorId="0" shapeId="0">
      <text>
        <r>
          <rPr>
            <b/>
            <sz val="8"/>
            <color indexed="8"/>
            <rFont val="Tahoma"/>
            <family val="2"/>
          </rPr>
          <t xml:space="preserve">HEINSOHN:
</t>
        </r>
        <r>
          <rPr>
            <sz val="8"/>
            <color indexed="8"/>
            <rFont val="Tahoma"/>
            <family val="2"/>
          </rPr>
          <t>Coloque S o N dependiendo de si el recurso está involucrado en las estimaciones del desarrollo.  Se usa para sumar la columna los meses de desarrollo y poder comparar dicho total con los estimados de tiempos de la hoja de soporte</t>
        </r>
      </text>
    </comment>
    <comment ref="I2" authorId="0" shapeId="0">
      <text>
        <r>
          <rPr>
            <b/>
            <sz val="8"/>
            <color indexed="8"/>
            <rFont val="Tahoma"/>
            <family val="2"/>
          </rPr>
          <t xml:space="preserve">HEINSOHN:
</t>
        </r>
        <r>
          <rPr>
            <sz val="8"/>
            <color indexed="8"/>
            <rFont val="Tahoma"/>
            <family val="2"/>
          </rPr>
          <t>Nro. de recursos del perfil que estarían asignados al proyecto.</t>
        </r>
      </text>
    </comment>
    <comment ref="K2" authorId="0" shapeId="0">
      <text>
        <r>
          <rPr>
            <b/>
            <sz val="8"/>
            <color indexed="8"/>
            <rFont val="Tahoma"/>
            <family val="2"/>
          </rPr>
          <t xml:space="preserve">HEINSOHN:
</t>
        </r>
        <r>
          <rPr>
            <sz val="8"/>
            <color indexed="8"/>
            <rFont val="Tahoma"/>
            <family val="2"/>
          </rPr>
          <t>Se ajusta el trabajo con porcentajes colocados como parámetros, en este caso, con % desviación, con el % de tiempo de capacitación y con el % de tiempo de reuniones.</t>
        </r>
      </text>
    </comment>
    <comment ref="L2" authorId="0" shapeId="0">
      <text>
        <r>
          <rPr>
            <b/>
            <sz val="8"/>
            <color indexed="8"/>
            <rFont val="Tahoma"/>
            <family val="2"/>
          </rPr>
          <t xml:space="preserve">HEINSOHN:
</t>
        </r>
        <r>
          <rPr>
            <sz val="8"/>
            <color indexed="8"/>
            <rFont val="Tahoma"/>
            <family val="2"/>
          </rPr>
          <t>Corresponde al precio que Heinsohn cobra por el m/h según el perfil del recurso</t>
        </r>
      </text>
    </comment>
    <comment ref="M2" authorId="0" shapeId="0">
      <text>
        <r>
          <rPr>
            <b/>
            <sz val="8"/>
            <color indexed="8"/>
            <rFont val="Tahoma"/>
            <family val="2"/>
          </rPr>
          <t xml:space="preserve">HEINSOHN:
</t>
        </r>
        <r>
          <rPr>
            <sz val="8"/>
            <color indexed="8"/>
            <rFont val="Tahoma"/>
            <family val="2"/>
          </rPr>
          <t>Corresponde al precio total de los recursos según la dedicación que van a tener al proyecto.</t>
        </r>
      </text>
    </comment>
    <comment ref="N2" authorId="0" shapeId="0">
      <text>
        <r>
          <rPr>
            <b/>
            <sz val="8"/>
            <color indexed="8"/>
            <rFont val="Tahoma"/>
            <family val="2"/>
          </rPr>
          <t xml:space="preserve">HEINSOHN:
</t>
        </r>
        <r>
          <rPr>
            <sz val="8"/>
            <color indexed="8"/>
            <rFont val="Tahoma"/>
            <family val="2"/>
          </rPr>
          <t>Coloque 1 para recursos con contrato de trabajo salario normal, 2 para recursos con contrato de trabajo salario integral y 3 para contratistas (sea de cooperativas o no)</t>
        </r>
      </text>
    </comment>
    <comment ref="O2" authorId="0" shapeId="0">
      <text>
        <r>
          <rPr>
            <b/>
            <sz val="8"/>
            <color indexed="8"/>
            <rFont val="Tahoma"/>
            <family val="2"/>
          </rPr>
          <t xml:space="preserve">HEINSOHN:
</t>
        </r>
        <r>
          <rPr>
            <sz val="8"/>
            <color indexed="8"/>
            <rFont val="Tahoma"/>
            <family val="2"/>
          </rPr>
          <t xml:space="preserve">Valor de los beneficios y la Bonificación Variable que se pacte con el empleado que no constituya salario
</t>
        </r>
      </text>
    </comment>
    <comment ref="P2" authorId="0" shapeId="0">
      <text>
        <r>
          <rPr>
            <b/>
            <sz val="8"/>
            <color indexed="8"/>
            <rFont val="Tahoma"/>
            <family val="2"/>
          </rPr>
          <t xml:space="preserve">HEINSOHN:
</t>
        </r>
        <r>
          <rPr>
            <sz val="8"/>
            <color indexed="8"/>
            <rFont val="Tahoma"/>
            <family val="2"/>
          </rPr>
          <t xml:space="preserve">Salario total=Salario mensual estimado ajustado con factor prestacional+Beneficios+Bonificación Variable
</t>
        </r>
      </text>
    </comment>
    <comment ref="Q2" authorId="0" shapeId="0">
      <text>
        <r>
          <rPr>
            <b/>
            <sz val="8"/>
            <color indexed="8"/>
            <rFont val="Tahoma"/>
            <family val="2"/>
          </rPr>
          <t xml:space="preserve">HEINSOHN:
</t>
        </r>
        <r>
          <rPr>
            <sz val="8"/>
            <color indexed="8"/>
            <rFont val="Tahoma"/>
            <family val="2"/>
          </rPr>
          <t>Trabajo estimado en el año correspondiente.</t>
        </r>
      </text>
    </comment>
    <comment ref="R2" authorId="0" shapeId="0">
      <text>
        <r>
          <rPr>
            <b/>
            <sz val="8"/>
            <color indexed="8"/>
            <rFont val="Tahoma"/>
            <family val="2"/>
          </rPr>
          <t xml:space="preserve">HEINSOHN:
</t>
        </r>
        <r>
          <rPr>
            <sz val="8"/>
            <color indexed="8"/>
            <rFont val="Tahoma"/>
            <family val="2"/>
          </rPr>
          <t>Ajuste del salario por aumento pactado en cambio de año.  Puede ser igual al salario estimado si no hay cambio según la fecha de inicio del proyecto y la antigùedad de los recursos asignados</t>
        </r>
      </text>
    </comment>
    <comment ref="T2" authorId="0" shapeId="0">
      <text>
        <r>
          <rPr>
            <b/>
            <sz val="8"/>
            <color indexed="8"/>
            <rFont val="Tahoma"/>
            <family val="2"/>
          </rPr>
          <t xml:space="preserve">HEINSOHN:
</t>
        </r>
        <r>
          <rPr>
            <sz val="8"/>
            <color indexed="8"/>
            <rFont val="Tahoma"/>
            <family val="2"/>
          </rPr>
          <t xml:space="preserve">Trabajo estimado en el año correspondiente.
</t>
        </r>
      </text>
    </comment>
    <comment ref="U2" authorId="0" shapeId="0">
      <text>
        <r>
          <rPr>
            <b/>
            <sz val="8"/>
            <color indexed="8"/>
            <rFont val="Tahoma"/>
            <family val="2"/>
          </rPr>
          <t xml:space="preserve">HEINSOHN:
</t>
        </r>
        <r>
          <rPr>
            <sz val="8"/>
            <color indexed="8"/>
            <rFont val="Tahoma"/>
            <family val="2"/>
          </rPr>
          <t>Ajuste del salario por aumento pactado en cambio de año.</t>
        </r>
      </text>
    </comment>
    <comment ref="W2" authorId="0" shapeId="0">
      <text>
        <r>
          <rPr>
            <b/>
            <sz val="8"/>
            <color indexed="8"/>
            <rFont val="Tahoma"/>
            <family val="2"/>
          </rPr>
          <t xml:space="preserve">HEINSOHN:
</t>
        </r>
        <r>
          <rPr>
            <sz val="8"/>
            <color indexed="8"/>
            <rFont val="Tahoma"/>
            <family val="2"/>
          </rPr>
          <t>Trabajo estimado en el año correspondiente.</t>
        </r>
      </text>
    </comment>
    <comment ref="X2" authorId="0" shapeId="0">
      <text>
        <r>
          <rPr>
            <b/>
            <sz val="8"/>
            <color indexed="8"/>
            <rFont val="Tahoma"/>
            <family val="2"/>
          </rPr>
          <t xml:space="preserve">HEINSOHN:
</t>
        </r>
        <r>
          <rPr>
            <sz val="8"/>
            <color indexed="8"/>
            <rFont val="Tahoma"/>
            <family val="2"/>
          </rPr>
          <t>Ajuste del salario por aumento pactado en cambio de año.</t>
        </r>
      </text>
    </comment>
    <comment ref="M11" authorId="0" shapeId="0">
      <text>
        <r>
          <rPr>
            <b/>
            <sz val="8"/>
            <color indexed="8"/>
            <rFont val="Tahoma"/>
            <family val="2"/>
          </rPr>
          <t xml:space="preserve">HEINSOHN:
</t>
        </r>
        <r>
          <rPr>
            <sz val="8"/>
            <color indexed="8"/>
            <rFont val="Tahoma"/>
            <family val="2"/>
          </rPr>
          <t>Este sería uno de los totales que representa el precio que puede cobrar Heinsohn al cliente.  Es la forma estándar como se cotiza.</t>
        </r>
      </text>
    </comment>
    <comment ref="J12" authorId="0" shapeId="0">
      <text>
        <r>
          <rPr>
            <b/>
            <sz val="8"/>
            <color indexed="8"/>
            <rFont val="Tahoma"/>
            <family val="2"/>
          </rPr>
          <t xml:space="preserve">HEINSOHN:
</t>
        </r>
        <r>
          <rPr>
            <sz val="8"/>
            <color indexed="8"/>
            <rFont val="Tahoma"/>
            <family val="2"/>
          </rPr>
          <t>Compararlo con el tiempo estimado de desarrollo.  No debe tener mas de un 10% de desviación.  Ojo en el plan de trabajo debe estar bien realizado y cubrir tiempos muertos.</t>
        </r>
      </text>
    </comment>
    <comment ref="A14" authorId="0" shapeId="0">
      <text>
        <r>
          <rPr>
            <b/>
            <sz val="8"/>
            <color indexed="8"/>
            <rFont val="Tahoma"/>
            <family val="2"/>
          </rPr>
          <t xml:space="preserve">HEINSOHN:
</t>
        </r>
        <r>
          <rPr>
            <sz val="8"/>
            <color indexed="8"/>
            <rFont val="Tahoma"/>
            <family val="2"/>
          </rPr>
          <t xml:space="preserve">Para compararlo con el costo del proyecto calculado con el costo total de los recursos estimados para el proyecto.
</t>
        </r>
      </text>
    </comment>
    <comment ref="M14" authorId="0" shapeId="0">
      <text>
        <r>
          <rPr>
            <b/>
            <sz val="8"/>
            <color indexed="8"/>
            <rFont val="Tahoma"/>
            <family val="2"/>
          </rPr>
          <t xml:space="preserve">HEINSOHN:
</t>
        </r>
        <r>
          <rPr>
            <sz val="8"/>
            <color indexed="8"/>
            <rFont val="Tahoma"/>
            <family val="2"/>
          </rPr>
          <t>Total que corresponde de ajustar los costos de los recursos humanos con el multiplicador que se maneja en la compañía.  Este multiplicador (celda B11) puede tener involucrada la rentabilidad.</t>
        </r>
      </text>
    </comment>
  </commentList>
</comments>
</file>

<file path=xl/comments3.xml><?xml version="1.0" encoding="utf-8"?>
<comments xmlns="http://schemas.openxmlformats.org/spreadsheetml/2006/main">
  <authors>
    <author/>
    <author>Fidel Andres Vargas Londoño</author>
  </authors>
  <commentList>
    <comment ref="D2" authorId="0" shapeId="0">
      <text>
        <r>
          <rPr>
            <b/>
            <sz val="8"/>
            <color indexed="8"/>
            <rFont val="Tahoma"/>
            <family val="2"/>
          </rPr>
          <t xml:space="preserve">HEINSOHN:
</t>
        </r>
        <r>
          <rPr>
            <sz val="8"/>
            <color indexed="8"/>
            <rFont val="Tahoma"/>
            <family val="2"/>
          </rPr>
          <t>Costo por el tiempo total del proyecto</t>
        </r>
      </text>
    </comment>
    <comment ref="E2" authorId="0" shapeId="0">
      <text>
        <r>
          <rPr>
            <b/>
            <sz val="8"/>
            <color indexed="8"/>
            <rFont val="Tahoma"/>
            <family val="2"/>
          </rPr>
          <t xml:space="preserve">HEINSOHN:
</t>
        </r>
        <r>
          <rPr>
            <sz val="8"/>
            <color indexed="8"/>
            <rFont val="Tahoma"/>
            <family val="2"/>
          </rPr>
          <t>Indicador de si ya se tiene el recurso o se debe comprar</t>
        </r>
      </text>
    </comment>
    <comment ref="F2" authorId="0" shapeId="0">
      <text>
        <r>
          <rPr>
            <b/>
            <sz val="8"/>
            <color indexed="8"/>
            <rFont val="Tahoma"/>
            <family val="2"/>
          </rPr>
          <t xml:space="preserve">HEINSOHN:
</t>
        </r>
        <r>
          <rPr>
            <sz val="8"/>
            <color indexed="8"/>
            <rFont val="Tahoma"/>
            <family val="2"/>
          </rPr>
          <t>Fecha en la que se estima debe estar comprado el recurso o contratado el servicio requerido.</t>
        </r>
      </text>
    </comment>
    <comment ref="G2" authorId="0" shapeId="0">
      <text>
        <r>
          <rPr>
            <b/>
            <sz val="8"/>
            <color indexed="8"/>
            <rFont val="Tahoma"/>
            <family val="2"/>
          </rPr>
          <t xml:space="preserve">arios:
</t>
        </r>
        <r>
          <rPr>
            <sz val="8"/>
            <color indexed="8"/>
            <rFont val="Tahoma"/>
            <family val="2"/>
          </rPr>
          <t>Coloque el nombre del proveedor o los proveedores con lo que se cotizó el recurso o servicio, indicando el pre-seleccionado.</t>
        </r>
      </text>
    </comment>
    <comment ref="B3" authorId="0" shapeId="0">
      <text>
        <r>
          <rPr>
            <b/>
            <sz val="8"/>
            <color indexed="8"/>
            <rFont val="Tahoma"/>
            <family val="2"/>
          </rPr>
          <t xml:space="preserve">HEINSOHN:
</t>
        </r>
        <r>
          <rPr>
            <sz val="8"/>
            <color indexed="8"/>
            <rFont val="Tahoma"/>
            <family val="2"/>
          </rPr>
          <t>Asi se cuente con las oficinas y haya espacio en el momento de la estimación, se debe considerar el costo de dicho espacio.</t>
        </r>
      </text>
    </comment>
    <comment ref="B4" authorId="0" shapeId="0">
      <text>
        <r>
          <rPr>
            <b/>
            <sz val="8"/>
            <color indexed="8"/>
            <rFont val="Tahoma"/>
            <family val="2"/>
          </rPr>
          <t xml:space="preserve">HEINSOHN:
</t>
        </r>
        <r>
          <rPr>
            <sz val="8"/>
            <color indexed="8"/>
            <rFont val="Tahoma"/>
            <family val="2"/>
          </rPr>
          <t>En el caso de que se tenga que arrendar oficinas se debe contar con el costo de adecuar la oficina para el grupo del proyecto.</t>
        </r>
      </text>
    </comment>
    <comment ref="B5" authorId="0" shapeId="0">
      <text>
        <r>
          <rPr>
            <b/>
            <sz val="8"/>
            <color indexed="8"/>
            <rFont val="Tahoma"/>
            <family val="2"/>
          </rPr>
          <t xml:space="preserve">HEINSOHN:
</t>
        </r>
        <r>
          <rPr>
            <sz val="8"/>
            <color indexed="8"/>
            <rFont val="Tahoma"/>
            <family val="2"/>
          </rPr>
          <t>Costo que debe asumir el proyecto por servicios de teléfono, agua, luz, celular.  Tener en cuenta el costo de las comunicaciones por fuera del país.</t>
        </r>
      </text>
    </comment>
    <comment ref="B6" authorId="0" shapeId="0">
      <text>
        <r>
          <rPr>
            <b/>
            <sz val="8"/>
            <color indexed="8"/>
            <rFont val="Tahoma"/>
            <family val="2"/>
          </rPr>
          <t xml:space="preserve">HEINSOHN:
</t>
        </r>
        <r>
          <rPr>
            <sz val="8"/>
            <color indexed="8"/>
            <rFont val="Tahoma"/>
            <family val="2"/>
          </rPr>
          <t>Cursos, seminarios, capacitaciones dictados por personal externo a Heinsohn</t>
        </r>
      </text>
    </comment>
    <comment ref="B7" authorId="0" shapeId="0">
      <text>
        <r>
          <rPr>
            <b/>
            <sz val="8"/>
            <color indexed="8"/>
            <rFont val="Tahoma"/>
            <family val="2"/>
          </rPr>
          <t xml:space="preserve">arios:
</t>
        </r>
        <r>
          <rPr>
            <sz val="8"/>
            <color indexed="8"/>
            <rFont val="Tahoma"/>
            <family val="2"/>
          </rPr>
          <t xml:space="preserve">Coloque el costo estimado de la asesoría legal necesaria para el cierre y el control del contrato, sobre todo en contratos con cierto nivel de riesgo y complicados en el manejo legal. </t>
        </r>
      </text>
    </comment>
    <comment ref="B8" authorId="0" shapeId="0">
      <text>
        <r>
          <rPr>
            <b/>
            <sz val="8"/>
            <color indexed="8"/>
            <rFont val="Tahoma"/>
            <family val="2"/>
          </rPr>
          <t xml:space="preserve">HEINSOHN:
</t>
        </r>
        <r>
          <rPr>
            <sz val="8"/>
            <color indexed="8"/>
            <rFont val="Tahoma"/>
            <family val="2"/>
          </rPr>
          <t xml:space="preserve">Costo estimado de materiales varios, como papelería, fotocopias, medios magnéticos. </t>
        </r>
      </text>
    </comment>
    <comment ref="D11" authorId="1" shapeId="0">
      <text>
        <r>
          <rPr>
            <b/>
            <sz val="8"/>
            <color indexed="81"/>
            <rFont val="Tahoma"/>
            <family val="2"/>
          </rPr>
          <t>En el puesto de trabajo se está incluyendo el computador de la persona independiente si es portatil.</t>
        </r>
      </text>
    </comment>
  </commentList>
</comments>
</file>

<file path=xl/comments4.xml><?xml version="1.0" encoding="utf-8"?>
<comments xmlns="http://schemas.openxmlformats.org/spreadsheetml/2006/main">
  <authors>
    <author/>
    <author>Fidel Andres Vargas Londoño</author>
  </authors>
  <commentList>
    <comment ref="B2" authorId="0" shapeId="0">
      <text>
        <r>
          <rPr>
            <b/>
            <sz val="8"/>
            <color indexed="8"/>
            <rFont val="Tahoma"/>
            <family val="2"/>
          </rPr>
          <t xml:space="preserve">HEINSOHN:
</t>
        </r>
        <r>
          <rPr>
            <sz val="8"/>
            <color indexed="8"/>
            <rFont val="Tahoma"/>
            <family val="2"/>
          </rPr>
          <t>Rol que hará uso de la herramienta</t>
        </r>
      </text>
    </comment>
    <comment ref="C2" authorId="1" shapeId="0">
      <text>
        <r>
          <rPr>
            <b/>
            <sz val="9"/>
            <color indexed="81"/>
            <rFont val="Tahoma"/>
            <family val="2"/>
          </rPr>
          <t xml:space="preserve">HEINSOHN:
</t>
        </r>
        <r>
          <rPr>
            <sz val="9"/>
            <color indexed="81"/>
            <rFont val="Tahoma"/>
            <family val="2"/>
          </rPr>
          <t xml:space="preserve">La idea es tener en cuenta todas las herramientas de trabajo con las que debe contar el proyecto, se colocan como ejemplo herramientas de pruebas de carga y de documentación, pero la idea es agregar las lineas por todas las herramientas especiales que se deban tener.
</t>
        </r>
      </text>
    </comment>
    <comment ref="E2" authorId="0" shapeId="0">
      <text>
        <r>
          <rPr>
            <b/>
            <sz val="8"/>
            <color indexed="8"/>
            <rFont val="Tahoma"/>
            <family val="2"/>
          </rPr>
          <t xml:space="preserve">HEINSOHN:
</t>
        </r>
        <r>
          <rPr>
            <sz val="8"/>
            <color indexed="8"/>
            <rFont val="Tahoma"/>
            <family val="2"/>
          </rPr>
          <t>Aplica cuando se integran productos de terceros como parte del proyecto. Debería colocarse un porcentaje si la columna I tiene una C, es decir que el producto se entrega al cliente integrado con el desarrollo o producto de Heinsohn</t>
        </r>
      </text>
    </comment>
    <comment ref="K2" authorId="0" shapeId="0">
      <text>
        <r>
          <rPr>
            <b/>
            <sz val="8"/>
            <color indexed="8"/>
            <rFont val="Tahoma"/>
            <family val="2"/>
          </rPr>
          <t xml:space="preserve">HEINSOHN:
</t>
        </r>
        <r>
          <rPr>
            <sz val="8"/>
            <color indexed="8"/>
            <rFont val="Tahoma"/>
            <family val="2"/>
          </rPr>
          <t>Si la cotización está en dólares 
inserte una fórmula para que dicho valor en dólares quede multipliado por la TRM de la celda B15</t>
        </r>
      </text>
    </comment>
    <comment ref="M2" authorId="0" shapeId="0">
      <text>
        <r>
          <rPr>
            <b/>
            <sz val="8"/>
            <color indexed="8"/>
            <rFont val="Tahoma"/>
            <family val="2"/>
          </rPr>
          <t xml:space="preserve">HEINSOHN:
</t>
        </r>
        <r>
          <rPr>
            <sz val="8"/>
            <color indexed="8"/>
            <rFont val="Tahoma"/>
            <family val="2"/>
          </rPr>
          <t>Indicador de si ya se tiene el recurso o se debe comprar</t>
        </r>
      </text>
    </comment>
    <comment ref="N2" authorId="0" shapeId="0">
      <text>
        <r>
          <rPr>
            <b/>
            <sz val="8"/>
            <color indexed="8"/>
            <rFont val="Tahoma"/>
            <family val="2"/>
          </rPr>
          <t xml:space="preserve">HEINSOHN:
</t>
        </r>
        <r>
          <rPr>
            <sz val="8"/>
            <color indexed="8"/>
            <rFont val="Tahoma"/>
            <family val="2"/>
          </rPr>
          <t>Fecha en la que se estima debe estar comprado o conseguido el recurso</t>
        </r>
      </text>
    </comment>
    <comment ref="O2" authorId="0" shapeId="0">
      <text>
        <r>
          <rPr>
            <b/>
            <sz val="8"/>
            <color indexed="8"/>
            <rFont val="Tahoma"/>
            <family val="2"/>
          </rPr>
          <t xml:space="preserve">HEINSOHN:
</t>
        </r>
        <r>
          <rPr>
            <sz val="8"/>
            <color indexed="8"/>
            <rFont val="Tahoma"/>
            <family val="2"/>
          </rPr>
          <t>Coloque I si el recurso es para uso de Heinsohn en el proyecto y C si es para entrega al cliente como parte del proyecto</t>
        </r>
      </text>
    </comment>
  </commentList>
</comments>
</file>

<file path=xl/comments5.xml><?xml version="1.0" encoding="utf-8"?>
<comments xmlns="http://schemas.openxmlformats.org/spreadsheetml/2006/main">
  <authors>
    <author/>
  </authors>
  <commentList>
    <comment ref="C5" authorId="0" shapeId="0">
      <text>
        <r>
          <rPr>
            <b/>
            <sz val="8"/>
            <color indexed="8"/>
            <rFont val="Tahoma"/>
            <family val="2"/>
          </rPr>
          <t xml:space="preserve">HEINSOHN:
</t>
        </r>
        <r>
          <rPr>
            <sz val="8"/>
            <color indexed="8"/>
            <rFont val="Tahoma"/>
            <family val="2"/>
          </rPr>
          <t>Coloque la palabra PESOS cuando el cliente sea nacional y la palabra USD cuando el cliente sea internacional</t>
        </r>
      </text>
    </comment>
    <comment ref="C9" authorId="0" shapeId="0">
      <text>
        <r>
          <rPr>
            <b/>
            <sz val="8"/>
            <color indexed="8"/>
            <rFont val="Tahoma"/>
            <family val="2"/>
          </rPr>
          <t xml:space="preserve">HEINSOHN:
</t>
        </r>
        <r>
          <rPr>
            <sz val="8"/>
            <color indexed="8"/>
            <rFont val="Tahoma"/>
            <family val="2"/>
          </rPr>
          <t>Número de viajes que se darán al recurso</t>
        </r>
      </text>
    </comment>
    <comment ref="A11" authorId="0" shapeId="0">
      <text>
        <r>
          <rPr>
            <b/>
            <sz val="8"/>
            <color indexed="8"/>
            <rFont val="Tahoma"/>
            <family val="2"/>
          </rPr>
          <t xml:space="preserve">HEINSOHN:
</t>
        </r>
        <r>
          <rPr>
            <sz val="8"/>
            <color indexed="8"/>
            <rFont val="Tahoma"/>
            <family val="2"/>
          </rPr>
          <t>Se debe tener cuidado con este rubro, se debe colocar antes de calcular seguros si Heinsohn corre con los gastos de viaje y por lo tanto están incluidos en el costo del proyecto. 
Si el cliente corre con dichos costos no se ve afectado el costo del proyecto</t>
        </r>
      </text>
    </comment>
    <comment ref="D12" authorId="0" shapeId="0">
      <text>
        <r>
          <rPr>
            <b/>
            <sz val="8"/>
            <color indexed="8"/>
            <rFont val="Tahoma"/>
            <family val="2"/>
          </rPr>
          <t xml:space="preserve">HEINSOHN:
</t>
        </r>
        <r>
          <rPr>
            <sz val="8"/>
            <color indexed="8"/>
            <rFont val="Tahoma"/>
            <family val="2"/>
          </rPr>
          <t>Coloque las tarifas en dolares o pesos según lo definido en la celda de tipo de tarifa</t>
        </r>
      </text>
    </comment>
  </commentList>
</comments>
</file>

<file path=xl/comments6.xml><?xml version="1.0" encoding="utf-8"?>
<comments xmlns="http://schemas.openxmlformats.org/spreadsheetml/2006/main">
  <authors>
    <author/>
    <author>jcmendez</author>
  </authors>
  <commentList>
    <comment ref="C2" authorId="0" shapeId="0">
      <text>
        <r>
          <rPr>
            <b/>
            <sz val="8"/>
            <color indexed="8"/>
            <rFont val="Tahoma"/>
            <family val="2"/>
          </rPr>
          <t xml:space="preserve">HEINSOHN:
</t>
        </r>
        <r>
          <rPr>
            <sz val="8"/>
            <color indexed="8"/>
            <rFont val="Tahoma"/>
            <family val="2"/>
          </rPr>
          <t>Incluya el % de cubrimiento del seguro sobre el valor del contrato</t>
        </r>
      </text>
    </comment>
    <comment ref="E2" authorId="1" shapeId="0">
      <text>
        <r>
          <rPr>
            <sz val="9"/>
            <color indexed="81"/>
            <rFont val="Tahoma"/>
            <family val="2"/>
          </rPr>
          <t>Tiempo adicional que fija el cliente despues de terminado el proyecto.</t>
        </r>
      </text>
    </comment>
    <comment ref="F2" authorId="0" shapeId="0">
      <text>
        <r>
          <rPr>
            <b/>
            <sz val="8"/>
            <color indexed="8"/>
            <rFont val="Tahoma"/>
            <family val="2"/>
          </rPr>
          <t xml:space="preserve">HEINSOHN:
</t>
        </r>
        <r>
          <rPr>
            <sz val="8"/>
            <color indexed="8"/>
            <rFont val="Tahoma"/>
            <family val="2"/>
          </rPr>
          <t xml:space="preserve">Dado en el tiempo adicional después del fin del contrato.
</t>
        </r>
      </text>
    </comment>
    <comment ref="H2" authorId="0" shapeId="0">
      <text>
        <r>
          <rPr>
            <b/>
            <sz val="8"/>
            <color indexed="8"/>
            <rFont val="Tahoma"/>
            <family val="2"/>
          </rPr>
          <t xml:space="preserve">HEINSOHN:
</t>
        </r>
        <r>
          <rPr>
            <sz val="8"/>
            <color indexed="8"/>
            <rFont val="Tahoma"/>
            <family val="2"/>
          </rPr>
          <t>Costo para Heinsohn de establecer una póliza con las condiciones especificadas.</t>
        </r>
      </text>
    </comment>
    <comment ref="C10" authorId="0" shapeId="0">
      <text>
        <r>
          <rPr>
            <b/>
            <sz val="8"/>
            <color indexed="8"/>
            <rFont val="Tahoma"/>
            <family val="2"/>
          </rPr>
          <t xml:space="preserve">HEINSOHN:
</t>
        </r>
        <r>
          <rPr>
            <sz val="8"/>
            <color indexed="8"/>
            <rFont val="Tahoma"/>
            <family val="2"/>
          </rPr>
          <t>Porcentaje estimado por todas las pólizas aplicado al valor del contrato.  Modifique el % (en el ej. está 2% estimado) si no tiene datos detallados en las líneas anteriores.  Es excluyente con los datos detallados.</t>
        </r>
      </text>
    </comment>
  </commentList>
</comments>
</file>

<file path=xl/comments7.xml><?xml version="1.0" encoding="utf-8"?>
<comments xmlns="http://schemas.openxmlformats.org/spreadsheetml/2006/main">
  <authors>
    <author/>
  </authors>
  <commentList>
    <comment ref="B9" authorId="0" shapeId="0">
      <text>
        <r>
          <rPr>
            <b/>
            <sz val="8"/>
            <color indexed="8"/>
            <rFont val="Tahoma"/>
            <family val="2"/>
          </rPr>
          <t xml:space="preserve">HEINSOHN:
</t>
        </r>
        <r>
          <rPr>
            <sz val="8"/>
            <color indexed="8"/>
            <rFont val="Tahoma"/>
            <family val="2"/>
          </rPr>
          <t>Porcentaje estimado por todos los impuestos aplicados al valor del contrato.  Modifique el % (en el ej. está 2% estimado) si no tiene datos detallados en las líneas anteriores.  Es excluyente con los datos detallados.</t>
        </r>
      </text>
    </comment>
    <comment ref="E9" authorId="0" shapeId="0">
      <text>
        <r>
          <rPr>
            <b/>
            <sz val="8"/>
            <color indexed="8"/>
            <rFont val="Tahoma"/>
            <family val="2"/>
          </rPr>
          <t xml:space="preserve">HEINSOHN:
</t>
        </r>
        <r>
          <rPr>
            <sz val="8"/>
            <color indexed="8"/>
            <rFont val="Tahoma"/>
            <family val="2"/>
          </rPr>
          <t>La fórmula esta dada para manejar % estimado de impuestos o la suma de los impuestos que se estimen</t>
        </r>
      </text>
    </comment>
  </commentList>
</comments>
</file>

<file path=xl/comments8.xml><?xml version="1.0" encoding="utf-8"?>
<comments xmlns="http://schemas.openxmlformats.org/spreadsheetml/2006/main">
  <authors>
    <author/>
  </authors>
  <commentList>
    <comment ref="A4" authorId="0" shapeId="0">
      <text>
        <r>
          <rPr>
            <sz val="8"/>
            <color indexed="8"/>
            <rFont val="Tahoma"/>
            <family val="2"/>
          </rPr>
          <t>Se debe firmar de acuerdo al rol tecnico o financiero</t>
        </r>
      </text>
    </comment>
    <comment ref="A28" authorId="0" shapeId="0">
      <text>
        <r>
          <rPr>
            <b/>
            <sz val="8"/>
            <color indexed="8"/>
            <rFont val="Tahoma"/>
            <family val="2"/>
          </rPr>
          <t xml:space="preserve">Alvaro J:
</t>
        </r>
        <r>
          <rPr>
            <sz val="8"/>
            <color indexed="8"/>
            <rFont val="Tahoma"/>
            <family val="2"/>
          </rPr>
          <t>Debe ser igual a la firma o chulo que va en cada hoja del contrato cuando esto aplique.</t>
        </r>
      </text>
    </comment>
  </commentList>
</comments>
</file>

<file path=xl/comments9.xml><?xml version="1.0" encoding="utf-8"?>
<comments xmlns="http://schemas.openxmlformats.org/spreadsheetml/2006/main">
  <authors>
    <author>jcmendez</author>
    <author/>
  </authors>
  <commentList>
    <comment ref="A14" authorId="0" shapeId="0">
      <text>
        <r>
          <rPr>
            <b/>
            <sz val="9"/>
            <color indexed="81"/>
            <rFont val="Tahoma"/>
            <family val="2"/>
          </rPr>
          <t xml:space="preserve">HEINSOHN:
</t>
        </r>
        <r>
          <rPr>
            <sz val="9"/>
            <color indexed="81"/>
            <rFont val="Tahoma"/>
            <family val="2"/>
          </rPr>
          <t>Se utiliza para encontrar el costo estimado del proyecto a través del multiplicador para compararlo con la forma de hacerlo con el costeo total de los recursos.</t>
        </r>
      </text>
    </comment>
    <comment ref="A19" authorId="1" shapeId="0">
      <text>
        <r>
          <rPr>
            <b/>
            <sz val="8"/>
            <color indexed="8"/>
            <rFont val="Tahoma"/>
            <family val="2"/>
          </rPr>
          <t xml:space="preserve">HEINSOHN:
</t>
        </r>
        <r>
          <rPr>
            <sz val="8"/>
            <color indexed="8"/>
            <rFont val="Tahoma"/>
            <family val="2"/>
          </rPr>
          <t>Se utiliza en las columna de precio de lista, si dicho precio de lista es diferencial por perfil, cambie la fórmula de la columa según el prefil</t>
        </r>
      </text>
    </comment>
    <comment ref="A22" authorId="0" shapeId="0">
      <text>
        <r>
          <rPr>
            <b/>
            <sz val="9"/>
            <color indexed="81"/>
            <rFont val="Tahoma"/>
            <family val="2"/>
          </rPr>
          <t xml:space="preserve">HEINSOHN:
</t>
        </r>
        <r>
          <rPr>
            <sz val="9"/>
            <color indexed="81"/>
            <rFont val="Tahoma"/>
            <family val="2"/>
          </rPr>
          <t>Se incluye si no está involucrado en los tiempos estimados del proyecto y en los riesgos identificados y valorados</t>
        </r>
      </text>
    </comment>
    <comment ref="A23" authorId="0" shapeId="0">
      <text>
        <r>
          <rPr>
            <b/>
            <sz val="9"/>
            <color indexed="81"/>
            <rFont val="Tahoma"/>
            <family val="2"/>
          </rPr>
          <t xml:space="preserve">HEINSOHN:
</t>
        </r>
        <r>
          <rPr>
            <sz val="9"/>
            <color indexed="81"/>
            <rFont val="Tahoma"/>
            <family val="2"/>
          </rPr>
          <t>Corresponde al % estimado del tiempo que los recursos van a estar en entrenamiento y capacitación.  No incluye el costo mismo de la capacitación.</t>
        </r>
      </text>
    </comment>
    <comment ref="A24" authorId="0" shapeId="0">
      <text>
        <r>
          <rPr>
            <b/>
            <sz val="9"/>
            <color indexed="81"/>
            <rFont val="Tahoma"/>
            <family val="2"/>
          </rPr>
          <t xml:space="preserve">HEINSOHN:
</t>
        </r>
        <r>
          <rPr>
            <sz val="9"/>
            <color indexed="81"/>
            <rFont val="Tahoma"/>
            <family val="2"/>
          </rPr>
          <t>Se incluye si no está involucrado en los tiempos estimados del proyecto.
Debe estar soportado en la planeación de las reuniones que se planteen en la gerencia de comunicaciones.</t>
        </r>
      </text>
    </comment>
    <comment ref="A29" authorId="0" shapeId="0">
      <text>
        <r>
          <rPr>
            <b/>
            <sz val="9"/>
            <color indexed="81"/>
            <rFont val="Tahoma"/>
            <family val="2"/>
          </rPr>
          <t xml:space="preserve">arios:
</t>
        </r>
        <r>
          <rPr>
            <sz val="9"/>
            <color indexed="81"/>
            <rFont val="Tahoma"/>
            <family val="2"/>
          </rPr>
          <t>Coloque el margen que se quiere tener con el negocio.  Con dicho margen y basado en el costo del proyecto, se calcula el precio del proyecto</t>
        </r>
        <r>
          <rPr>
            <sz val="9"/>
            <color indexed="81"/>
            <rFont val="Tahoma"/>
            <family val="2"/>
          </rPr>
          <t xml:space="preserve">
</t>
        </r>
      </text>
    </comment>
    <comment ref="A30" authorId="0" shapeId="0">
      <text>
        <r>
          <rPr>
            <b/>
            <sz val="9"/>
            <color indexed="81"/>
            <rFont val="Tahoma"/>
            <family val="2"/>
          </rPr>
          <t xml:space="preserve">HEINSOHN:
</t>
        </r>
        <r>
          <rPr>
            <sz val="9"/>
            <color indexed="81"/>
            <rFont val="Tahoma"/>
            <family val="2"/>
          </rPr>
          <t>Valor hora promedio de Heinsohn, se utiliza para re-expresar el precio de un proyecto en horas.</t>
        </r>
      </text>
    </comment>
  </commentList>
</comments>
</file>

<file path=xl/sharedStrings.xml><?xml version="1.0" encoding="utf-8"?>
<sst xmlns="http://schemas.openxmlformats.org/spreadsheetml/2006/main" count="1403" uniqueCount="788">
  <si>
    <t xml:space="preserve"> </t>
  </si>
  <si>
    <t>1.1. Identificación</t>
  </si>
  <si>
    <t>1.2. Información requerida</t>
  </si>
  <si>
    <t>Proyecto:</t>
  </si>
  <si>
    <t>Área:</t>
  </si>
  <si>
    <t>Versión:</t>
  </si>
  <si>
    <t>Fecha de registro:</t>
  </si>
  <si>
    <t>Responsable de registrar:</t>
  </si>
  <si>
    <t>1.3. Resumen de la propuesta</t>
  </si>
  <si>
    <t>Datos del cliente y la propuesta</t>
  </si>
  <si>
    <t>Nombre del cliente</t>
  </si>
  <si>
    <t>Segmento del cliente</t>
  </si>
  <si>
    <t>Propuesta número</t>
  </si>
  <si>
    <t>Fecha de preparación</t>
  </si>
  <si>
    <t>Nombre propuesta</t>
  </si>
  <si>
    <t>Fecha de entrega al cliente</t>
  </si>
  <si>
    <t>Preparada por</t>
  </si>
  <si>
    <t>Datos del proyecto</t>
  </si>
  <si>
    <t>Fecha estimada de iniciación</t>
  </si>
  <si>
    <t xml:space="preserve">Tipo de contratación </t>
  </si>
  <si>
    <t>Tipo de proyecto</t>
  </si>
  <si>
    <t>Descripción general del proyecto</t>
  </si>
  <si>
    <t>USD</t>
  </si>
  <si>
    <t>Costo Pre-venta</t>
  </si>
  <si>
    <t>Costo comercial</t>
  </si>
  <si>
    <t>PRECIO DEL PROYECTO</t>
  </si>
  <si>
    <t>Ingresos anuales futuros por Mant.</t>
  </si>
  <si>
    <t>Margen</t>
  </si>
  <si>
    <t>Valor hora en pesos</t>
  </si>
  <si>
    <t>Nombre</t>
  </si>
  <si>
    <t>Firma</t>
  </si>
  <si>
    <t>Firma corta</t>
  </si>
  <si>
    <t>Observaciones</t>
  </si>
  <si>
    <t>Socio *</t>
  </si>
  <si>
    <t>Gerente de Cuenta *</t>
  </si>
  <si>
    <t>Gerente del Proyecto - En preventa</t>
  </si>
  <si>
    <t>Gerente Técnico - En preventa</t>
  </si>
  <si>
    <t xml:space="preserve">Arquitecto o Experto Técnico* </t>
  </si>
  <si>
    <t>Gerente Financiero *</t>
  </si>
  <si>
    <t>Compras *</t>
  </si>
  <si>
    <t>Gestión Humana *</t>
  </si>
  <si>
    <t>Director del área tenica (por ejemplo Senior partner FSW )*</t>
  </si>
  <si>
    <t>QA *</t>
  </si>
  <si>
    <t>Los marcados con * son obligatorios, para los no obligatorios en caso de no firmarse se debe dar la razón en el campo observaciones</t>
  </si>
  <si>
    <t>2. Lista de chequeo para revisores</t>
  </si>
  <si>
    <t>Puntos que deben ser revisados</t>
  </si>
  <si>
    <t>Respecto a la parte técnica del proyecto</t>
  </si>
  <si>
    <t>Factibilidad técnica Arquitectura adecuada</t>
  </si>
  <si>
    <t>Están claramente expresados supuestos y restricciones</t>
  </si>
  <si>
    <t>Se expresa claramente lo que no incluye la propuesta (p.e. afinamiento bases de datos, servidor aplicaciones)</t>
  </si>
  <si>
    <t>Se estan estimando en pruebas funcionales</t>
  </si>
  <si>
    <t>La forma de estimación esta documentada y es consistente con el cronograma del proyecto.</t>
  </si>
  <si>
    <t>Se esta teniendo un tiempo apropiado de gerencia (para proyectos a la medida debe ser tiempo completo, un coordinador por cada 6 personas)</t>
  </si>
  <si>
    <t>Son Claros los términos de la garantía y el costo de la misma.</t>
  </si>
  <si>
    <t>Se definió un número de personas a quienes se capacita en el software.</t>
  </si>
  <si>
    <t>Respecto al cronograma</t>
  </si>
  <si>
    <t>Se incluyen festivos</t>
  </si>
  <si>
    <t>Se esta teniendo en cuenta tiempo de posibles vacaciones / incapacidades</t>
  </si>
  <si>
    <t>Se están cobrando huecos generados en el cronograma</t>
  </si>
  <si>
    <t>No hay sobrecarga de recursos ni carga baja generalizada</t>
  </si>
  <si>
    <t>Del Negocio</t>
  </si>
  <si>
    <t>Factibilidad financiera / Aprobada</t>
  </si>
  <si>
    <t>Se revisaron y costearon los riesgos</t>
  </si>
  <si>
    <t>Se costeo la garantía</t>
  </si>
  <si>
    <t>Se hizo revisión jurídica del contrato</t>
  </si>
  <si>
    <t>Para quien recibe el proyecto si este se concreta</t>
  </si>
  <si>
    <t>El contrato se entiende, las restricciones técnicas, supuestos e hitos del cronograma</t>
  </si>
  <si>
    <t>* Diligencie las casillas en blanco, las verdes corresponden a ítems que no necesariamente tienen que ser revisados por el rol.</t>
  </si>
  <si>
    <t>3. Supuestos del proyecto</t>
  </si>
  <si>
    <t>Coloque los supuestos utilizados para las estimaciones, escalas de precios, presupuesto del cliente para el proyecto, principales competidores, necesidades claves del cliente, oportunidades adicionales a obtener con el cliente o el negocio (como por ejemplo el mantenimiento posterior)</t>
  </si>
  <si>
    <t>5.1 Supuestos o parámetros de estimación</t>
  </si>
  <si>
    <t>Factor prestacional Salario Normal (1)</t>
  </si>
  <si>
    <t>Factor prestacional Salario Integral (2)</t>
  </si>
  <si>
    <t>Factor aplicable a los contratistas (3)</t>
  </si>
  <si>
    <t>Factor multiplicador sin prestaciones</t>
  </si>
  <si>
    <t>Horas al mes</t>
  </si>
  <si>
    <t>Valor hora (estándar)</t>
  </si>
  <si>
    <t>TRM</t>
  </si>
  <si>
    <t>Riesgo desviacion (%)</t>
  </si>
  <si>
    <t>Reuniones y seguimiento (%)</t>
  </si>
  <si>
    <t>Total (%)</t>
  </si>
  <si>
    <t>5.2 Estimación de recursos de Heinsohn</t>
  </si>
  <si>
    <t>AÑO 1</t>
  </si>
  <si>
    <t>AÑO 2</t>
  </si>
  <si>
    <t>AÑO 3</t>
  </si>
  <si>
    <t>Perfil</t>
  </si>
  <si>
    <t>Duración (Meses / Hombre)</t>
  </si>
  <si>
    <t>% Dedicación</t>
  </si>
  <si>
    <t>Participa directamente en el desarrollo del producto (S/N)</t>
  </si>
  <si>
    <t>Número de Recursos</t>
  </si>
  <si>
    <t>Total (Meses / Hombre)</t>
  </si>
  <si>
    <t>Total ajustado (Meses / Hombre)</t>
  </si>
  <si>
    <t>Precio de lista ($ por Meses / Hombre)</t>
  </si>
  <si>
    <t>Precio de los recursos según la duración estimada del recurso en el proyecto</t>
  </si>
  <si>
    <t>Salario mensual estándar (guía)</t>
  </si>
  <si>
    <t>Salario mensual estimado</t>
  </si>
  <si>
    <t>Tipo de Salario</t>
  </si>
  <si>
    <t>Beneficios + Bonificación Variable</t>
  </si>
  <si>
    <t>Salario mensual estimado ajustado con factor prestacional (total base+beneficios+c.v.+ prestaciones)</t>
  </si>
  <si>
    <t>Meses trabajados en el Año 1</t>
  </si>
  <si>
    <t>Salario mensual ajustado incremento</t>
  </si>
  <si>
    <t>Total Año 1</t>
  </si>
  <si>
    <t>Meses trabajados en el Año 2</t>
  </si>
  <si>
    <t>Salario ajustado incremento</t>
  </si>
  <si>
    <t>Total Año 2</t>
  </si>
  <si>
    <t>Meses trabajados en el Año 3</t>
  </si>
  <si>
    <t>Total Año 3</t>
  </si>
  <si>
    <t>Control de distribución por duración</t>
  </si>
  <si>
    <t>S</t>
  </si>
  <si>
    <t>DBA</t>
  </si>
  <si>
    <t>TOTALES DE RECURSOS HUMANOS</t>
  </si>
  <si>
    <t>$</t>
  </si>
  <si>
    <t>MESES DE DESARROLLO</t>
  </si>
  <si>
    <t>MESES ADICIONALES</t>
  </si>
  <si>
    <t>Total del recursos</t>
  </si>
  <si>
    <t>Valor del proyecto ajustado con el multiplicador</t>
  </si>
  <si>
    <t>5.3 Estimación de otros recursos y costos</t>
  </si>
  <si>
    <t xml:space="preserve">Cantidad </t>
  </si>
  <si>
    <t>Proveedor</t>
  </si>
  <si>
    <t>% por Integración</t>
  </si>
  <si>
    <t>Costo unitario base en $</t>
  </si>
  <si>
    <t>Costo ajustado en $</t>
  </si>
  <si>
    <t>Se tiene o no</t>
  </si>
  <si>
    <t>Fecha estimada en que se debería comprar del recurso</t>
  </si>
  <si>
    <t>I/C</t>
  </si>
  <si>
    <t>TOTAL HERRAMIENTAS PESOS</t>
  </si>
  <si>
    <t>5.4 Estimación espacio físico, materiales y otros</t>
  </si>
  <si>
    <t>Ítem</t>
  </si>
  <si>
    <t>Costo en $</t>
  </si>
  <si>
    <t>Fecha estimada en que se debería comprar el recurso</t>
  </si>
  <si>
    <t>Adecuacion oficina</t>
  </si>
  <si>
    <t>Servicios públicos</t>
  </si>
  <si>
    <t>NA</t>
  </si>
  <si>
    <t>Cursos</t>
  </si>
  <si>
    <t>Gastos varios</t>
  </si>
  <si>
    <t>Costo total espacio físico y materiales</t>
  </si>
  <si>
    <t>5.5 Estimación  seguros</t>
  </si>
  <si>
    <t>Seguros</t>
  </si>
  <si>
    <t>% Cubrimiento sobre valor del contrato</t>
  </si>
  <si>
    <t>Costo porcentual</t>
  </si>
  <si>
    <t>Costo para Heinsohn</t>
  </si>
  <si>
    <t>Cía de Seguros</t>
  </si>
  <si>
    <t>Responsabilidad Civil Extracontractual</t>
  </si>
  <si>
    <t>Costo total seguros</t>
  </si>
  <si>
    <t>5.6 Estimación impuestos</t>
  </si>
  <si>
    <t>Impuestos</t>
  </si>
  <si>
    <t>% Impuesto</t>
  </si>
  <si>
    <t>Valor límite</t>
  </si>
  <si>
    <t>% a cargo de Heinsohn</t>
  </si>
  <si>
    <t>Timbre (1,5% para contratos mayores a 55'000000, se debe proponer compartido (50-50)</t>
  </si>
  <si>
    <t>ICA (7x1000 por el valor del ingreso)</t>
  </si>
  <si>
    <t>Transacciones financieras (4x1000)</t>
  </si>
  <si>
    <t>ESTIMACIÓN</t>
  </si>
  <si>
    <t>PESOS</t>
  </si>
  <si>
    <t>Recursos humanos</t>
  </si>
  <si>
    <t>Espacio físico, materiales y otros</t>
  </si>
  <si>
    <t>Viaticos</t>
  </si>
  <si>
    <t>Costo total estimado del proyecto</t>
  </si>
  <si>
    <t>6.  Estimación de viajes y costos de transporte, alojamiento y manutención</t>
  </si>
  <si>
    <t>6.1  Supuestos o parámetros de estimación</t>
  </si>
  <si>
    <t>Tipo de Tarifa</t>
  </si>
  <si>
    <t>Número de recursos que viajan</t>
  </si>
  <si>
    <t>Número de meses que están por fuera</t>
  </si>
  <si>
    <t>Número de días que están por fuera</t>
  </si>
  <si>
    <t>Número de viajes</t>
  </si>
  <si>
    <t>6.2 Estimados de Transporte, Alojamiento y Manutención</t>
  </si>
  <si>
    <t>Item estimado</t>
  </si>
  <si>
    <t>Tarifa</t>
  </si>
  <si>
    <t>Total</t>
  </si>
  <si>
    <t>Pasajes</t>
  </si>
  <si>
    <t>Impuesto Bogotá</t>
  </si>
  <si>
    <t xml:space="preserve">Impuesto en el otro país </t>
  </si>
  <si>
    <t>Eventual cambio VISA</t>
  </si>
  <si>
    <t>Eventual cambio fecha pasaje</t>
  </si>
  <si>
    <t>Cubrimiento en salud</t>
  </si>
  <si>
    <t>Alojamiento (0=Apto, 1=Hotel)</t>
  </si>
  <si>
    <t>Teléfono</t>
  </si>
  <si>
    <t>Internet - msn</t>
  </si>
  <si>
    <t>Lavandería</t>
  </si>
  <si>
    <t>Viáticos (Des, Alm, Com, Trans., etc.)</t>
  </si>
  <si>
    <t>Imprevistos</t>
  </si>
  <si>
    <t>Total transporte, alojamiento y manutención</t>
  </si>
  <si>
    <t xml:space="preserve">Margen (Adm.) </t>
  </si>
  <si>
    <t>Impacto Costo por hora</t>
  </si>
  <si>
    <t>Si se tiene en cuenta una tarifa de</t>
  </si>
  <si>
    <t xml:space="preserve">Debe quedar la tarifa mínimo en </t>
  </si>
  <si>
    <t>Hotel - Apartamento</t>
  </si>
  <si>
    <t>Vr. Mes</t>
  </si>
  <si>
    <t>Apartamento (0)</t>
  </si>
  <si>
    <t>Promoción</t>
  </si>
  <si>
    <t>4 semanas por 3 pagadas</t>
  </si>
  <si>
    <t>caso extremo 2 simples</t>
  </si>
  <si>
    <t>Vr. Diario</t>
  </si>
  <si>
    <t>Vr. Proyecto</t>
  </si>
  <si>
    <t>Hotel (1)</t>
  </si>
  <si>
    <t>#</t>
  </si>
  <si>
    <t>Vr. Total</t>
  </si>
  <si>
    <t>Cada 15 días - Vestidos</t>
  </si>
  <si>
    <t>Cada semana - Kilos</t>
  </si>
  <si>
    <t>Total mes</t>
  </si>
  <si>
    <t>7.  Soporte a los estimados de tiempos de desarrollo</t>
  </si>
  <si>
    <t>Coloque en esta hoja el soporte de los estimados de tiempo por entregable, el cual se adjuntará como resumen en la propuesta.o haga referencia a la matriz de estimaciones o al plan de trabajo soporte de los estimados.</t>
  </si>
  <si>
    <t>Horas al mes usadas para comversión a M/H</t>
  </si>
  <si>
    <t>Análisis</t>
  </si>
  <si>
    <t>Diseño</t>
  </si>
  <si>
    <t>Pruebas</t>
  </si>
  <si>
    <t>Concepción</t>
  </si>
  <si>
    <t>Elaboración</t>
  </si>
  <si>
    <t>Construcción</t>
  </si>
  <si>
    <t>8.  Flujo de Caja Estimado</t>
  </si>
  <si>
    <t>Rubro</t>
  </si>
  <si>
    <t>Valor</t>
  </si>
  <si>
    <t>INGRESOS</t>
  </si>
  <si>
    <t>EGRESOS</t>
  </si>
  <si>
    <t>Capacitacion (%) - Garantia</t>
  </si>
  <si>
    <t>GERENTE DE PROYECTO SR.</t>
  </si>
  <si>
    <t>GERENTE DE PROYECTO</t>
  </si>
  <si>
    <t>CONSULTOR RATIONAL SR.2</t>
  </si>
  <si>
    <t>ARQUITECTO SR.1</t>
  </si>
  <si>
    <t>ARQUITECTO JR.</t>
  </si>
  <si>
    <t>COORDINADOR DESARROLLO</t>
  </si>
  <si>
    <t>LIDER TECNICO</t>
  </si>
  <si>
    <t>ANALISTA REQ. SR.</t>
  </si>
  <si>
    <t>ANALISTA REQ. JR.</t>
  </si>
  <si>
    <t>LIDER DE PRUEBAS SR.</t>
  </si>
  <si>
    <t>LIDER DE PRUEBAS JR.</t>
  </si>
  <si>
    <t>ADM. CONFIGURACION</t>
  </si>
  <si>
    <t>DOCUMENTADOR</t>
  </si>
  <si>
    <t>ANALISTA DE PRUEBAS  SR.</t>
  </si>
  <si>
    <t>ANALISTA DE PRUEBAS JR.</t>
  </si>
  <si>
    <t>ANALISTA PROGRAMADOR SR.</t>
  </si>
  <si>
    <t>ANALISTA PROGRAMADOR JR</t>
  </si>
  <si>
    <t>ANALISTA PROG. ARMENIA</t>
  </si>
  <si>
    <t>Resumen de costos totales del proyecto</t>
  </si>
  <si>
    <t>Compras de HW y SW</t>
  </si>
  <si>
    <t>Vacaciones</t>
  </si>
  <si>
    <t>INTEGRAL</t>
  </si>
  <si>
    <t>HONORARIOS</t>
  </si>
  <si>
    <t>COOPERATIVA</t>
  </si>
  <si>
    <t>Prestaciones Sociales:</t>
  </si>
  <si>
    <t>Cesantías</t>
  </si>
  <si>
    <t>Primas de Servicios</t>
  </si>
  <si>
    <t>Intereses sobre Cesantías</t>
  </si>
  <si>
    <t>Seguridad Social y Parafiscales:</t>
  </si>
  <si>
    <t>Salud</t>
  </si>
  <si>
    <t>Pensión</t>
  </si>
  <si>
    <t>Riesgos Profesionales</t>
  </si>
  <si>
    <t>Caja de Compensación</t>
  </si>
  <si>
    <t>ICBF</t>
  </si>
  <si>
    <t>SENA</t>
  </si>
  <si>
    <t>Provisiones:</t>
  </si>
  <si>
    <t>Deportivos, recreación y culturales</t>
  </si>
  <si>
    <t>Capacitación</t>
  </si>
  <si>
    <t>Indemnizaciones</t>
  </si>
  <si>
    <t>Comisión</t>
  </si>
  <si>
    <t>Gastos Administrativos</t>
  </si>
  <si>
    <t>Salario mínimo</t>
  </si>
  <si>
    <t>Auxilio de Transporte</t>
  </si>
  <si>
    <t>Dotación (Vr cada 4 meses)</t>
  </si>
  <si>
    <t>SALARIO</t>
  </si>
  <si>
    <t>BENEFICIOS</t>
  </si>
  <si>
    <t>TOTAL</t>
  </si>
  <si>
    <t>Vr máximo para flexibilización con tickets alimentación / canasta</t>
  </si>
  <si>
    <t>Tarifa administracion contratista</t>
  </si>
  <si>
    <t>Productividad</t>
  </si>
  <si>
    <t>Horas mes promedio</t>
  </si>
  <si>
    <t>Duracion en Meses</t>
  </si>
  <si>
    <t>General</t>
  </si>
  <si>
    <t>Gar. Seriedad</t>
  </si>
  <si>
    <t>Calidad</t>
  </si>
  <si>
    <t>Cumplimiento</t>
  </si>
  <si>
    <t>Más</t>
  </si>
  <si>
    <t>REVISAR</t>
  </si>
  <si>
    <t>Meses</t>
  </si>
  <si>
    <t>Computador</t>
  </si>
  <si>
    <t>Puesto de Trabajo</t>
  </si>
  <si>
    <t>Contribución de Apoyo</t>
  </si>
  <si>
    <t>COSTO</t>
  </si>
  <si>
    <t>Aceptación Total</t>
  </si>
  <si>
    <t>Migración</t>
  </si>
  <si>
    <t>Purebas Totales del Sistema</t>
  </si>
  <si>
    <t>Al 100% Desarrollo</t>
  </si>
  <si>
    <t>Al 50% Desarrollo</t>
  </si>
  <si>
    <t>Recepción Final Diseño Detallado</t>
  </si>
  <si>
    <t>Recepción final Diseño Conceptual</t>
  </si>
  <si>
    <t>Inicio de Actividades</t>
  </si>
  <si>
    <t>Mes</t>
  </si>
  <si>
    <t>Días</t>
  </si>
  <si>
    <t>PENALIDADES</t>
  </si>
  <si>
    <t>Riesgo</t>
  </si>
  <si>
    <t>Garantía</t>
  </si>
  <si>
    <t>En HBT</t>
  </si>
  <si>
    <t>Horas a Facturar</t>
  </si>
  <si>
    <t>Adm. Config.</t>
  </si>
  <si>
    <t>Administrador de la Configuración</t>
  </si>
  <si>
    <t>Equiv.</t>
  </si>
  <si>
    <t>Director Proyecto tiempo completo</t>
  </si>
  <si>
    <t>Resto</t>
  </si>
  <si>
    <t>Total horas desarrollador</t>
  </si>
  <si>
    <t>P</t>
  </si>
  <si>
    <t xml:space="preserve">Ing. Pruebas </t>
  </si>
  <si>
    <t>Total semanas</t>
  </si>
  <si>
    <t>Transición</t>
  </si>
  <si>
    <t>K</t>
  </si>
  <si>
    <t>Ing. Semi Sr.</t>
  </si>
  <si>
    <t>Ing. Sr.</t>
  </si>
  <si>
    <t>C/D</t>
  </si>
  <si>
    <t>Arquitecto</t>
  </si>
  <si>
    <t>Gerente</t>
  </si>
  <si>
    <t>Recursos X semana</t>
  </si>
  <si>
    <t>Meses del proyecto</t>
  </si>
  <si>
    <t>Semanas de proyecto</t>
  </si>
  <si>
    <t>Horas x Dia</t>
  </si>
  <si>
    <t>Dias</t>
  </si>
  <si>
    <t>Duración Aprox</t>
  </si>
  <si>
    <t>Semanas</t>
  </si>
  <si>
    <t>Cant de recursos</t>
  </si>
  <si>
    <t>Imp</t>
  </si>
  <si>
    <t>Ana&amp;Dis</t>
  </si>
  <si>
    <t>Req</t>
  </si>
  <si>
    <t>Disciplina</t>
  </si>
  <si>
    <t>Iteración</t>
  </si>
  <si>
    <t>transición</t>
  </si>
  <si>
    <t>construcción</t>
  </si>
  <si>
    <t>elaboración</t>
  </si>
  <si>
    <t>concepción</t>
  </si>
  <si>
    <t>Fase</t>
  </si>
  <si>
    <t>Eje Pln Cal 2</t>
  </si>
  <si>
    <t>Eje Pln Cal</t>
  </si>
  <si>
    <t>Dis Pln Cal</t>
  </si>
  <si>
    <t>Doc Técn</t>
  </si>
  <si>
    <t>Corr Def</t>
  </si>
  <si>
    <t>Entr Sop</t>
  </si>
  <si>
    <t>Pr Unit</t>
  </si>
  <si>
    <t>Cod</t>
  </si>
  <si>
    <t>Impl</t>
  </si>
  <si>
    <t>An &amp; Dis</t>
  </si>
  <si>
    <t>Lev Req</t>
  </si>
  <si>
    <t>ROLES</t>
  </si>
  <si>
    <t>En Cliente</t>
  </si>
  <si>
    <t>COMUNICACIONES</t>
  </si>
  <si>
    <t>STAND BY</t>
  </si>
  <si>
    <t>Cuantía indeterminada</t>
  </si>
  <si>
    <t>HASTA</t>
  </si>
  <si>
    <t>DESDE</t>
  </si>
  <si>
    <t>4 o mas</t>
  </si>
  <si>
    <t>Penalizables</t>
  </si>
  <si>
    <t>Vr. Hora</t>
  </si>
  <si>
    <t>Nivel</t>
  </si>
  <si>
    <t>% Penalidad X Nivel</t>
  </si>
  <si>
    <t>% Prob. X Nivel</t>
  </si>
  <si>
    <t>Serv. Pen. X Nivel</t>
  </si>
  <si>
    <t>Número de Servicios</t>
  </si>
  <si>
    <t>% Incumplimiento</t>
  </si>
  <si>
    <t>No. Serv. Penalizables</t>
  </si>
  <si>
    <t>Horas/Servicio Prom.</t>
  </si>
  <si>
    <t>Horas período</t>
  </si>
  <si>
    <t>máx. 5%</t>
  </si>
  <si>
    <t>No. Desarollos</t>
  </si>
  <si>
    <t>Período (meses)</t>
  </si>
  <si>
    <t>DESARROLLOS</t>
  </si>
  <si>
    <t>Ejecución con Riesgo</t>
  </si>
  <si>
    <t>NO APLICA</t>
  </si>
  <si>
    <t>Si</t>
  </si>
  <si>
    <t>SI</t>
  </si>
  <si>
    <t>Mantis</t>
  </si>
  <si>
    <t>Detalle</t>
  </si>
  <si>
    <t>REQUIERE LICENCIA?</t>
  </si>
  <si>
    <t>FASES</t>
  </si>
  <si>
    <t xml:space="preserve">  </t>
  </si>
  <si>
    <t>Compensación Otros Funcionarios</t>
  </si>
  <si>
    <t>Compesnación Gerente Proyecto</t>
  </si>
  <si>
    <t>Gerente Proyecto</t>
  </si>
  <si>
    <t>Normal</t>
  </si>
  <si>
    <t>Integral</t>
  </si>
  <si>
    <t>DBA 1</t>
  </si>
  <si>
    <t>INGRESO</t>
  </si>
  <si>
    <t>Horas mes</t>
  </si>
  <si>
    <t>Tipo de Contrato</t>
  </si>
  <si>
    <t>AÑO 2009</t>
  </si>
  <si>
    <t>VALOR HORA             con Margen</t>
  </si>
  <si>
    <t>VALOR MENSUAL          con Margen</t>
  </si>
  <si>
    <t>VALOR HORA             Antes de Margen</t>
  </si>
  <si>
    <t>Factor Prestacional</t>
  </si>
  <si>
    <t>COSTO VALOR MENSUAL con Factor Prestacional</t>
  </si>
  <si>
    <t>%</t>
  </si>
  <si>
    <t>Indexarlo?</t>
  </si>
  <si>
    <t>Riesgo Total</t>
  </si>
  <si>
    <t>ANUALIZADO</t>
  </si>
  <si>
    <t>Riesgo general</t>
  </si>
  <si>
    <t>ESTIMACIONES NO APROBADAS</t>
  </si>
  <si>
    <t>Riesgo específico</t>
  </si>
  <si>
    <t>TRANSICION  - DEVOLUCION</t>
  </si>
  <si>
    <t>Arquitecto de infraestructura</t>
  </si>
  <si>
    <t>Arquitecto de software Junior</t>
  </si>
  <si>
    <t>Arquitecto de software Senior</t>
  </si>
  <si>
    <t>Analista Testing Junior</t>
  </si>
  <si>
    <t>Analista Testing Senior</t>
  </si>
  <si>
    <t>Desarrollador .Net Junior</t>
  </si>
  <si>
    <t>Desarrollador :NET Senior</t>
  </si>
  <si>
    <t>Desarrollador Java Junior</t>
  </si>
  <si>
    <t>Desarrollador Java Senior</t>
  </si>
  <si>
    <t>Analista oracle Senior</t>
  </si>
  <si>
    <t>Analista oracle Junior</t>
  </si>
  <si>
    <t xml:space="preserve">Analista requerimientos junior </t>
  </si>
  <si>
    <t xml:space="preserve">Analista requerimientos senior </t>
  </si>
  <si>
    <t>Sueldo Máximo</t>
  </si>
  <si>
    <t>Sueldo Mínimo</t>
  </si>
  <si>
    <t>DEFINITIVO ACORDADO CON LUIS FERNANDO</t>
  </si>
  <si>
    <t>Sueldo multiplicador</t>
  </si>
  <si>
    <t>Sueldo</t>
  </si>
  <si>
    <t xml:space="preserve">Ingeniero Pruebas </t>
  </si>
  <si>
    <t>Analista desarrollador junior</t>
  </si>
  <si>
    <t>Analista desarrollador seniro</t>
  </si>
  <si>
    <t>Lider Tecnico</t>
  </si>
  <si>
    <t xml:space="preserve">Gerente Area </t>
  </si>
  <si>
    <t>Ministerio hacienda</t>
  </si>
  <si>
    <t>No suministran SW</t>
  </si>
  <si>
    <t>No suminstran HW</t>
  </si>
  <si>
    <t>Producto terminado</t>
  </si>
  <si>
    <t>Ejecución del proyecto</t>
  </si>
  <si>
    <t>Control de Versiones</t>
  </si>
  <si>
    <t>Documentación</t>
  </si>
  <si>
    <t>Implementación</t>
  </si>
  <si>
    <t>Diseño de Solución</t>
  </si>
  <si>
    <t>4 días hábiles</t>
  </si>
  <si>
    <t>Productos del Proceso</t>
  </si>
  <si>
    <t>Estimación de requerimientos</t>
  </si>
  <si>
    <t>Al Interventor</t>
  </si>
  <si>
    <t>a ICETEX?</t>
  </si>
  <si>
    <t xml:space="preserve">Suministro de las herramientas </t>
  </si>
  <si>
    <t xml:space="preserve">Si costo por </t>
  </si>
  <si>
    <t>Gestión</t>
  </si>
  <si>
    <t>No hay Horas Garantizadas</t>
  </si>
  <si>
    <t>Niveles de Servicio</t>
  </si>
  <si>
    <t>Registro y Seguimiento</t>
  </si>
  <si>
    <t>Valor ejecutado</t>
  </si>
  <si>
    <t>Por producto terminado</t>
  </si>
  <si>
    <t>Diseño de Soluciones</t>
  </si>
  <si>
    <t>Esquema de pago</t>
  </si>
  <si>
    <t>Gestión documental</t>
  </si>
  <si>
    <t>12 meses</t>
  </si>
  <si>
    <t>Seguimiento de defectos</t>
  </si>
  <si>
    <t>Administración de Configuración</t>
  </si>
  <si>
    <t>Producción en firme</t>
  </si>
  <si>
    <t>Seguimiento de proyectos</t>
  </si>
  <si>
    <t>2 meses</t>
  </si>
  <si>
    <t>Período de prueba</t>
  </si>
  <si>
    <t>Herramientas a cargo de HBT</t>
  </si>
  <si>
    <t>Esquema de sanciones</t>
  </si>
  <si>
    <t>RIESGOS GENERALES</t>
  </si>
  <si>
    <t>UCA</t>
  </si>
  <si>
    <t>Control de Cambios - Renovación Colciencias</t>
  </si>
  <si>
    <t>VCC</t>
  </si>
  <si>
    <t>Acuerdo 038 - Giros - Adicionar valor de la sanción en el formato de impresión del giro</t>
  </si>
  <si>
    <t>Riesgo total</t>
  </si>
  <si>
    <t>Renovación Colciencias - Nuevas validaciones</t>
  </si>
  <si>
    <t>Facturación - Ajustes a módulo de actualización de datos</t>
  </si>
  <si>
    <t>VFA</t>
  </si>
  <si>
    <t>Desarrollos Vicepresidencia de Fondos en Administración</t>
  </si>
  <si>
    <t>Ajustes al proceso de recibo único.</t>
  </si>
  <si>
    <t>ORI</t>
  </si>
  <si>
    <t>Desarrollos Oficina de Relaciones Internacionales</t>
  </si>
  <si>
    <t>Migración Cartera Fondos</t>
  </si>
  <si>
    <t>Cartera Fondos</t>
  </si>
  <si>
    <t>Ponderación</t>
  </si>
  <si>
    <t>Publicación de movimientos detallados de crédito para usuarios pagina web</t>
  </si>
  <si>
    <t xml:space="preserve">Máximo Riesgo </t>
  </si>
  <si>
    <t>Herramientas usuario final para ajustes</t>
  </si>
  <si>
    <t>Etapa de Producción</t>
  </si>
  <si>
    <t>Ajustes y estabilización C&amp;CTEX</t>
  </si>
  <si>
    <t>Rediseño Interfaz contable</t>
  </si>
  <si>
    <t>Automatización de proceso de alineamiento y reportes C&amp;CTEX</t>
  </si>
  <si>
    <t>Modificación de acuerdos</t>
  </si>
  <si>
    <t>Creación de Líneas de Crédito</t>
  </si>
  <si>
    <t>Formato de Actualización de Datos y Encuesta para Evaluación de Programas Académicos</t>
  </si>
  <si>
    <t>Cierre sobre el aplicativo de registro de novedades de cartera</t>
  </si>
  <si>
    <t>Cambio sobre la herramienta de generación de interfaz contable</t>
  </si>
  <si>
    <t>Etapa de Pruebas</t>
  </si>
  <si>
    <t>Proceso de Asignación Cobranza Externa</t>
  </si>
  <si>
    <t>Máximo Riesgo, diferente de Terminar el Contrato</t>
  </si>
  <si>
    <t xml:space="preserve">Recaudo C&amp;CTEX, Forma de Pago Efectivo y en Cheque </t>
  </si>
  <si>
    <t>Más de 4</t>
  </si>
  <si>
    <t>Aplicación masiva de reintegros y abonos rechazados</t>
  </si>
  <si>
    <t>De 3 a 4 </t>
  </si>
  <si>
    <t>Calificación periodo de gracia</t>
  </si>
  <si>
    <t>De 1 a 2</t>
  </si>
  <si>
    <t>Crédito Directo IES</t>
  </si>
  <si>
    <t>Sobre el valor del producto</t>
  </si>
  <si>
    <t>Numero de errores</t>
  </si>
  <si>
    <t>Numero de errores detectados por los usuarios de ICETEX en ambiente de producción</t>
  </si>
  <si>
    <t> # de errores detectados por los usuarios de ICETEX en ambiente de producción</t>
  </si>
  <si>
    <t>Por producto</t>
  </si>
  <si>
    <t>Numero de errores en producción</t>
  </si>
  <si>
    <t>Web Services ICETEX-Serlefin Nuevas Funcionalidades</t>
  </si>
  <si>
    <t>Más de 8</t>
  </si>
  <si>
    <t>Aplicación Novedades Fondos</t>
  </si>
  <si>
    <t>De 6 a 8</t>
  </si>
  <si>
    <t>Giros Créditos Exterior Dólares</t>
  </si>
  <si>
    <t>De 3 a 5</t>
  </si>
  <si>
    <t>DT</t>
  </si>
  <si>
    <t>Scriptex</t>
  </si>
  <si>
    <t>2 errores</t>
  </si>
  <si>
    <t>Numero de errores detectados por los usuarios de ICETEX en ambiente de pruebas</t>
  </si>
  <si>
    <t># errores detectados por usuarios en ambiente de pruebas</t>
  </si>
  <si>
    <t>Numero de errores en etapa de pruebas</t>
  </si>
  <si>
    <t>Reenvío de giros rechazados</t>
  </si>
  <si>
    <t>TABLAS DE DESCUENTO</t>
  </si>
  <si>
    <t>META</t>
  </si>
  <si>
    <t>DESCRIPCIÓN</t>
  </si>
  <si>
    <t>FORMULA DE CALCULO</t>
  </si>
  <si>
    <t>FRECUENCIA</t>
  </si>
  <si>
    <t>INDICADOR</t>
  </si>
  <si>
    <t>Carga automática archivos PSE y Red Multicolor</t>
  </si>
  <si>
    <t>Jóvenes Talentos Giros, Interfaz y Cartera</t>
  </si>
  <si>
    <t>Acuerdo de Nivel de servicio - Posibles descuentos</t>
  </si>
  <si>
    <t>Sublínea Crédito Suboficiales Giros, Interfaz y Cartera</t>
  </si>
  <si>
    <t>OR</t>
  </si>
  <si>
    <t>Nuevo modelo de provisiones</t>
  </si>
  <si>
    <t>Número de proyectos</t>
  </si>
  <si>
    <t>Fecha de producción estimada</t>
  </si>
  <si>
    <t>Área</t>
  </si>
  <si>
    <t>ACTIVIDAD</t>
  </si>
  <si>
    <t>Actividades</t>
  </si>
  <si>
    <t>ICETEX  - FABRICA DE SW 2010</t>
  </si>
  <si>
    <t>RIESGOS PLIEO</t>
  </si>
  <si>
    <t>Factor prestacional Cliente</t>
  </si>
  <si>
    <t>ADM. CONFIGURAICON</t>
  </si>
  <si>
    <t>LIDER DE PRUEBAS</t>
  </si>
  <si>
    <t>ARQUITECTO SR.</t>
  </si>
  <si>
    <t>EXPERTO FUNCIONAL</t>
  </si>
  <si>
    <t>CONSULTOR RATIONAL JR.</t>
  </si>
  <si>
    <t>DBA 2</t>
  </si>
  <si>
    <t>GERENTE DE PROYECTO JR.</t>
  </si>
  <si>
    <t>ROL</t>
  </si>
  <si>
    <t>MERCADO A.C.</t>
  </si>
  <si>
    <t>INFORMACION REFERENCIA</t>
  </si>
  <si>
    <t>HSH</t>
  </si>
  <si>
    <t>AÑO 2008</t>
  </si>
  <si>
    <t>Tasa de Cambio</t>
  </si>
  <si>
    <t>IPC a 31/12/2007</t>
  </si>
  <si>
    <t>En HSH</t>
  </si>
  <si>
    <t>IPC a 31/12/2008</t>
  </si>
  <si>
    <t xml:space="preserve">VALOR HORA          </t>
  </si>
  <si>
    <t>IPC a 31/12/2009</t>
  </si>
  <si>
    <t>REVISAR SI APLICA</t>
  </si>
  <si>
    <t>AJUSTE TARIFA</t>
  </si>
  <si>
    <t>AJUSTE GASTOS</t>
  </si>
  <si>
    <t>integral</t>
  </si>
  <si>
    <t>MODIFICADO</t>
  </si>
  <si>
    <t>FACTOR PRESTACIONAL CLIENTE</t>
  </si>
  <si>
    <t>Compensacion variable</t>
  </si>
  <si>
    <t>Compensacion variable Directores y Gerentes</t>
  </si>
  <si>
    <t>Factor multiplicador HBT</t>
  </si>
  <si>
    <t>Factor multiplicador En Cliente</t>
  </si>
  <si>
    <t>IPC o SM AÑO 1</t>
  </si>
  <si>
    <t>IPC o SM AÑO 2</t>
  </si>
  <si>
    <t>IPC o SM AÑO 3</t>
  </si>
  <si>
    <t>Valor del proyecto</t>
  </si>
  <si>
    <t>Total Ingresos</t>
  </si>
  <si>
    <t>Implementacion</t>
  </si>
  <si>
    <t>Aplica</t>
  </si>
  <si>
    <t>NO</t>
  </si>
  <si>
    <t xml:space="preserve">Salarios y prestaciones sociales </t>
  </si>
  <si>
    <t>Buen manejo del anticipo</t>
  </si>
  <si>
    <t>Vigencia en meses</t>
  </si>
  <si>
    <t>% Sobre el valor de la propuesta</t>
  </si>
  <si>
    <t>Gastos de expedicion</t>
  </si>
  <si>
    <t>Valor cotizado</t>
  </si>
  <si>
    <t>Moneda</t>
  </si>
  <si>
    <t>Costo total Impuestos</t>
  </si>
  <si>
    <t>Publicación de Contratos en el Diario Unico de Contratación Pública        (Tarifas 2010)</t>
  </si>
  <si>
    <t>Arriendo puesto de trabajo Bogota</t>
  </si>
  <si>
    <t>Publicacion</t>
  </si>
  <si>
    <t>Vr. Persona</t>
  </si>
  <si>
    <t>Garantia</t>
  </si>
  <si>
    <t>Valor del contrato</t>
  </si>
  <si>
    <t>Estampillas</t>
  </si>
  <si>
    <t>Beneficencia</t>
  </si>
  <si>
    <t>Otros</t>
  </si>
  <si>
    <t>AJUSTE INGRESO</t>
  </si>
  <si>
    <t>Ingreso ajustado</t>
  </si>
  <si>
    <t>Precio de lista</t>
  </si>
  <si>
    <t>Utilidad</t>
  </si>
  <si>
    <t>% Costo</t>
  </si>
  <si>
    <t>Subtotal antes de seguros e impuestos</t>
  </si>
  <si>
    <t>% Precio</t>
  </si>
  <si>
    <t>Riesgo estimado</t>
  </si>
  <si>
    <t>TOTAL HORAS</t>
  </si>
  <si>
    <t>Taxi Aeropuerto en el otro país/ciudad</t>
  </si>
  <si>
    <t xml:space="preserve">Taxi Aeropuerto Bogotá </t>
  </si>
  <si>
    <t>(se toma como base de costo Medellín)</t>
  </si>
  <si>
    <t>(20.000 por cada comida + transporte)</t>
  </si>
  <si>
    <t>Proporción de beneficios</t>
  </si>
  <si>
    <t>Contribución de apoyo</t>
  </si>
  <si>
    <t>Puesto de trabajo</t>
  </si>
  <si>
    <t xml:space="preserve">COORDINADOR  DE SOPORTE  FABRICAS </t>
  </si>
  <si>
    <t xml:space="preserve">COORDINADOR DE DESARROLLO FABRICAS </t>
  </si>
  <si>
    <t xml:space="preserve">COORDINADOR DE PROYECTO FABRICAS </t>
  </si>
  <si>
    <t xml:space="preserve">INGENIERO DE DESARROLLO BEGINN FABRICAS </t>
  </si>
  <si>
    <t xml:space="preserve">INGENIERO DE DESARROLLO JUNIOR FABRICAS </t>
  </si>
  <si>
    <t xml:space="preserve">INGENIERO DE DESARROLLO SENIOR FABRICAS </t>
  </si>
  <si>
    <t xml:space="preserve">INGENIERO SOPORTE JUNIOR FABRICAS </t>
  </si>
  <si>
    <t xml:space="preserve">ARQUITECTO JUNIOR PROYECTOS </t>
  </si>
  <si>
    <t xml:space="preserve">ARQUITECTO SENIOR PROYECTOS </t>
  </si>
  <si>
    <t xml:space="preserve">CONSULTOR SENIOR PROYECTOS </t>
  </si>
  <si>
    <t xml:space="preserve">COORDINADOR  DE SOPORTE PROYECTOS </t>
  </si>
  <si>
    <t xml:space="preserve">COORDINADOR DE DESARROLLO PROYECTOS </t>
  </si>
  <si>
    <t xml:space="preserve">COORDINADOR DE PROYECTO PROYECTOS </t>
  </si>
  <si>
    <t xml:space="preserve">GERENTE DE PROYECTO JUNIOR PROYECTOS </t>
  </si>
  <si>
    <t xml:space="preserve">GERENTE DE PROYECTO SENIOR PROYECTOS </t>
  </si>
  <si>
    <t xml:space="preserve">GERENTE QA PROYECTOS </t>
  </si>
  <si>
    <t xml:space="preserve">INGENIERO DE DESARROLLO JUNIOR PROYECTOS </t>
  </si>
  <si>
    <t xml:space="preserve">INGENIERO DE DESARROLLO SENIOR PROYECTOS </t>
  </si>
  <si>
    <t xml:space="preserve">INGENIERO SOPORTE JUNIOR PROYECTOS </t>
  </si>
  <si>
    <t xml:space="preserve">INGENIERO SOPORTE SENIOR PROYECTOS </t>
  </si>
  <si>
    <t xml:space="preserve">ADMINISTRADOR BASE DE DATOS SOL. FINANCIERAS </t>
  </si>
  <si>
    <t xml:space="preserve">ANALISTA FUNCIONAL SOL. FINANCIERAS </t>
  </si>
  <si>
    <t xml:space="preserve">ARQUITECTO JUNIOR SOL. FINANCIERAS </t>
  </si>
  <si>
    <t xml:space="preserve">ARQUITECTO SENIOR SOL. FINANCIERAS </t>
  </si>
  <si>
    <t xml:space="preserve">COORDINADOR  DE SOPORTE SOL. FINANCIERAS </t>
  </si>
  <si>
    <t xml:space="preserve">COORDINADOR DE DESARROLLO SOL. FINANCIERAS </t>
  </si>
  <si>
    <t xml:space="preserve">COORDINADOR DE PROYECTO SOL. FINANCIERAS </t>
  </si>
  <si>
    <t xml:space="preserve">GERENTE DE PROYECTO JUNIOR SOL. FINANCIERAS </t>
  </si>
  <si>
    <t xml:space="preserve">GERENTE DE PROYECTO SENIOR SOL. FINANCIERAS </t>
  </si>
  <si>
    <t xml:space="preserve">INGENIERO DE DESARROLLO JUNIOR SOL. FINANCIERAS </t>
  </si>
  <si>
    <t xml:space="preserve">INGENIERO DE DESARROLLO SENIOR SOL. FINANCIERAS </t>
  </si>
  <si>
    <t xml:space="preserve">INGENIERO SOPORTE JUNIOR SOL. FINANCIERAS </t>
  </si>
  <si>
    <t xml:space="preserve">INGENIERO SOPORTE SENIOR SOL. FINANCIERAS </t>
  </si>
  <si>
    <t>Descripción</t>
  </si>
  <si>
    <t xml:space="preserve">Cantidad de </t>
  </si>
  <si>
    <t>Valor unitario incluido IVA</t>
  </si>
  <si>
    <t>Valor total incluido IVA</t>
  </si>
  <si>
    <t>horas</t>
  </si>
  <si>
    <t>SIN IVA</t>
  </si>
  <si>
    <t>Gerente de Proyecto</t>
  </si>
  <si>
    <t>83.520*</t>
  </si>
  <si>
    <t xml:space="preserve">Arquitecto Empresarial </t>
  </si>
  <si>
    <t xml:space="preserve">Analista </t>
  </si>
  <si>
    <t>83.250*</t>
  </si>
  <si>
    <t>Desarrolladores</t>
  </si>
  <si>
    <t xml:space="preserve">Documentador </t>
  </si>
  <si>
    <t>* Valor hora ingeniería</t>
  </si>
  <si>
    <t>Nueva</t>
  </si>
  <si>
    <t xml:space="preserve">Total </t>
  </si>
  <si>
    <t>Gerente de proyecto</t>
  </si>
  <si>
    <t>Arquitecto empresarial</t>
  </si>
  <si>
    <t>Analista</t>
  </si>
  <si>
    <t>Especialista en control de calidad</t>
  </si>
  <si>
    <t>Analistas de pruebas, documentación y capacitación</t>
  </si>
  <si>
    <t>** Tener en cuenta que si hay cambio de año, las horas que se paguen en el nuevo año, se facturarán con aumento de IPC.</t>
  </si>
  <si>
    <t>** Se asume que se trabajarán en un año</t>
  </si>
  <si>
    <t>Dedicación</t>
  </si>
  <si>
    <t>VALOR HORA SIN IVA</t>
  </si>
  <si>
    <t>Asesoría Legal (Arquitecto empresarial)</t>
  </si>
  <si>
    <t>Valor hora por factor multiplicador</t>
  </si>
  <si>
    <t>Subtotal antes de Garantía</t>
  </si>
  <si>
    <t>Levantamiento</t>
  </si>
  <si>
    <t>Rol que Utiliza</t>
  </si>
  <si>
    <t>Ingeniero de Soporte</t>
  </si>
  <si>
    <t>Microsoft Office Word, Excel</t>
  </si>
  <si>
    <t>CAL Team Foundation Server</t>
  </si>
  <si>
    <t>CAL Sharepoint</t>
  </si>
  <si>
    <t>Ingeniero de Desarrollo</t>
  </si>
  <si>
    <t>Enterprise Architect</t>
  </si>
  <si>
    <t>Visual Studio Ultimate</t>
  </si>
  <si>
    <t>Microsoft Office Visio</t>
  </si>
  <si>
    <t>Codificación</t>
  </si>
  <si>
    <t>CAL de SQL Server</t>
  </si>
  <si>
    <t>CAL de Oracle</t>
  </si>
  <si>
    <t>Base de Datos Express</t>
  </si>
  <si>
    <t>IDE de Desarrollo Eclipse</t>
  </si>
  <si>
    <t>Visual Studio Professional</t>
  </si>
  <si>
    <t>Visual Studio Premium</t>
  </si>
  <si>
    <t>Open Office</t>
  </si>
  <si>
    <t xml:space="preserve">Microsoft Test Professional </t>
  </si>
  <si>
    <t>Herramienta Pruebas de Carga</t>
  </si>
  <si>
    <t xml:space="preserve">Capacitación </t>
  </si>
  <si>
    <t>Help &amp; Manual</t>
  </si>
  <si>
    <t>Visual Studio Professional + MSDN</t>
  </si>
  <si>
    <t>Visual Studio Premium + MSDN</t>
  </si>
  <si>
    <t xml:space="preserve">Gerencia </t>
  </si>
  <si>
    <t xml:space="preserve">Microsoft Project Professional </t>
  </si>
  <si>
    <t>Cargador de Cronos</t>
  </si>
  <si>
    <t xml:space="preserve">Gerente </t>
  </si>
  <si>
    <t>CAL de Sharepoint</t>
  </si>
  <si>
    <t>LICENCIAS POR ROL DEL EQUIPO DE TRABAJO</t>
  </si>
  <si>
    <t>LICENCIAS DE APLICACIONES</t>
  </si>
  <si>
    <t>Subversion</t>
  </si>
  <si>
    <t>Sharepoint</t>
  </si>
  <si>
    <t>TestLink</t>
  </si>
  <si>
    <t>Team Foundation Server</t>
  </si>
  <si>
    <t>Jenkins</t>
  </si>
  <si>
    <t>Servidor de Aplicaciones</t>
  </si>
  <si>
    <t>Sistema Operativo Linux</t>
  </si>
  <si>
    <t>Sistema Operativo Windows</t>
  </si>
  <si>
    <t>Máquina física</t>
  </si>
  <si>
    <t>Servidor de Base de Datos</t>
  </si>
  <si>
    <t>Motor de Base de Datos</t>
  </si>
  <si>
    <t>AMBIENTE INTEGRACIÓN CONTINUA</t>
  </si>
  <si>
    <t>N/A</t>
  </si>
  <si>
    <t>Mensual o Único</t>
  </si>
  <si>
    <t>Mensual</t>
  </si>
  <si>
    <t>Única</t>
  </si>
  <si>
    <t xml:space="preserve">Número de Meses </t>
  </si>
  <si>
    <t>DevExpress</t>
  </si>
  <si>
    <t>Infragistics</t>
  </si>
  <si>
    <t>Telerik</t>
  </si>
  <si>
    <t>Framework Presentación Java</t>
  </si>
  <si>
    <t>LICENCIAS DE FRAMEWORK</t>
  </si>
  <si>
    <t>Componentes Java</t>
  </si>
  <si>
    <t>Seguridad</t>
  </si>
  <si>
    <t>Firma Digital</t>
  </si>
  <si>
    <t>Pagos PSE</t>
  </si>
  <si>
    <t>Notificaciones</t>
  </si>
  <si>
    <t>FileProcessing</t>
  </si>
  <si>
    <t>BatchProcessing</t>
  </si>
  <si>
    <t>Auditoría</t>
  </si>
  <si>
    <t>FileGenerator</t>
  </si>
  <si>
    <t>EntityMatic</t>
  </si>
  <si>
    <t>TableMatic</t>
  </si>
  <si>
    <t>Formulador</t>
  </si>
  <si>
    <t>Históricos</t>
  </si>
  <si>
    <t>TaskManager</t>
  </si>
  <si>
    <t>Aplicaciones de Internos</t>
  </si>
  <si>
    <t>Vigencia del Valor Cotizado Meses</t>
  </si>
  <si>
    <t>NO TIENEN COSTO</t>
  </si>
  <si>
    <t>EN CASO DE REQUERIR COSTO DE COMPONENTES VALIDAR CON EL FRAMEWORK</t>
  </si>
  <si>
    <t>Computadores</t>
  </si>
  <si>
    <t>INGENIERIA DE SOFTWARE</t>
  </si>
  <si>
    <t>COMERCIAL</t>
  </si>
  <si>
    <t>PARA LA GESTIÓN:</t>
  </si>
  <si>
    <t>· Seguimiento de proyectos, por ejemplo MS Project, dotProject</t>
  </si>
  <si>
    <t>· Administración de configuraciones, por ejemplo CVS, SubVersion</t>
  </si>
  <si>
    <t>· Seguimiento de defectos, por ejemplo Web Tracker</t>
  </si>
  <si>
    <t>· Gestión documental, por ejemplo Wiki, SharePoint</t>
  </si>
  <si>
    <t>· Diseño de soluciones, por ejemplo Enterprise Architect, Visual Paradigm, Altova</t>
  </si>
  <si>
    <t>· Especificación de requerimientos.</t>
  </si>
  <si>
    <t>· Seguimiento de niveles de servicio.</t>
  </si>
  <si>
    <t>· Certificados digitales, para todos los integrantes del equipo de trabajo del contratista, que deban</t>
  </si>
  <si>
    <t>firmar documentos.</t>
  </si>
  <si>
    <t>· Repositorio de lecciones aprendidas, por ejemplo Wiki</t>
  </si>
  <si>
    <t>PARA EL DESARROLLO</t>
  </si>
  <si>
    <t>Plataforma Windows Server 2008 o superior, Linux</t>
  </si>
  <si>
    <t>Desarrollo Visual .NET 2005 o superior, ASP Clásico, PHP, Java,</t>
  </si>
  <si>
    <t>Bases de datos SQL Server 2008 R2 o superior , Oracle 11g o superior, MySQL​</t>
  </si>
  <si>
    <t xml:space="preserve">INGENIERO SOPORTE JUNIOR ADVANCED FABRICAS </t>
  </si>
  <si>
    <t xml:space="preserve">INGENIERO SOPORTE SENIOR FABRICAS </t>
  </si>
  <si>
    <t xml:space="preserve">GERENTE DE PROYECTO BEGINNER FABRICAS </t>
  </si>
  <si>
    <t>FÁBRICA DE SOFTWARE</t>
  </si>
  <si>
    <t>Precio Fijo</t>
  </si>
  <si>
    <t>PRECIO COMPETITIVO</t>
  </si>
  <si>
    <t>Gerencia</t>
  </si>
  <si>
    <t>Ingeniería</t>
  </si>
  <si>
    <t>Desarrollo</t>
  </si>
  <si>
    <t>N</t>
  </si>
  <si>
    <t>AMBIENTE DE PRUEBAS</t>
  </si>
  <si>
    <t xml:space="preserve">AMBIENTE DE DESARROLLO </t>
  </si>
  <si>
    <t>INFRAESTRUCTURA</t>
  </si>
  <si>
    <t>Comunicación</t>
  </si>
  <si>
    <t>Concentradores</t>
  </si>
  <si>
    <t>Ruteadores</t>
  </si>
  <si>
    <t>Murallas</t>
  </si>
  <si>
    <t>Balanceadores</t>
  </si>
  <si>
    <t>Cableado</t>
  </si>
  <si>
    <t>Perfiles</t>
  </si>
  <si>
    <t>Recursos</t>
  </si>
  <si>
    <t>Tiempo
(meses)</t>
  </si>
  <si>
    <t>Costo Total antes de 
impuestos</t>
  </si>
  <si>
    <t>Cantidad
(meses)</t>
  </si>
  <si>
    <t>Costo</t>
  </si>
  <si>
    <t>Cantidad 
(meses)</t>
  </si>
  <si>
    <t>Arriendo (Puestos de trabajo)</t>
  </si>
  <si>
    <t>COMPRA DE SERVIDORES</t>
  </si>
  <si>
    <t>Licencias</t>
  </si>
  <si>
    <t>Cant.</t>
  </si>
  <si>
    <t>Costo prox.</t>
  </si>
  <si>
    <t>Total Costo Licencias y Materiales</t>
  </si>
  <si>
    <t>AMBIENTE DE PRODUCCION</t>
  </si>
  <si>
    <t>Almacenamiento</t>
  </si>
  <si>
    <t>PRODUCCION</t>
  </si>
  <si>
    <t>PRUEBAS</t>
  </si>
  <si>
    <t>INTEGRACION CONTINUA</t>
  </si>
  <si>
    <t>COMUNICACIÓN</t>
  </si>
  <si>
    <t>Servidor de Almacenamiento</t>
  </si>
  <si>
    <t>INGENIERIA</t>
  </si>
  <si>
    <t>Windows Server 2012</t>
  </si>
  <si>
    <t>Red Hat Linux 6</t>
  </si>
</sst>
</file>

<file path=xl/styles.xml><?xml version="1.0" encoding="utf-8"?>
<styleSheet xmlns="http://schemas.openxmlformats.org/spreadsheetml/2006/main" xmlns:mc="http://schemas.openxmlformats.org/markup-compatibility/2006" xmlns:x14ac="http://schemas.microsoft.com/office/spreadsheetml/2009/9/ac" mc:Ignorable="x14ac">
  <numFmts count="24">
    <numFmt numFmtId="43" formatCode="_(* #,##0.00_);_(* \(#,##0.00\);_(* &quot;-&quot;??_);_(@_)"/>
    <numFmt numFmtId="164" formatCode="_(&quot;$&quot;\ * #,##0.00_);_(&quot;$&quot;\ * \(#,##0.00\);_(&quot;$&quot;\ * &quot;-&quot;??_);_(@_)"/>
    <numFmt numFmtId="165" formatCode="_-* #,##0.00_-;\-* #,##0.00_-;_-* &quot;-&quot;??_-;_-@_-"/>
    <numFmt numFmtId="166" formatCode="d&quot; de &quot;mmm&quot; de &quot;yy"/>
    <numFmt numFmtId="167" formatCode="[&lt;=9999999]###\-####;\(###&quot;) &quot;###\-####"/>
    <numFmt numFmtId="168" formatCode="&quot;$ &quot;#,##0;[Red]&quot;$ -&quot;#,##0"/>
    <numFmt numFmtId="169" formatCode="&quot;$ &quot;#,##0.00;[Red]&quot;$ -&quot;#,##0.00"/>
    <numFmt numFmtId="170" formatCode="0.0%"/>
    <numFmt numFmtId="171" formatCode="0.0"/>
    <numFmt numFmtId="172" formatCode="dd/mm/yy\ hh:mm"/>
    <numFmt numFmtId="173" formatCode="0.000%"/>
    <numFmt numFmtId="174" formatCode="_(* #,##0.00_);_(* \(#,##0.00\);_(* \-??_);_(@_)"/>
    <numFmt numFmtId="175" formatCode="_(* #,##0_);_(* \(#,##0\);_(* \-??_);_(@_)"/>
    <numFmt numFmtId="176" formatCode="_(&quot;$ &quot;* #,##0.00_);_(&quot;$ &quot;* \(#,##0.00\);_(&quot;$ &quot;* \-??_);_(@_)"/>
    <numFmt numFmtId="177" formatCode="_-* #,##0_-;\-* #,##0_-;_-* &quot;-&quot;??_-;_-@_-"/>
    <numFmt numFmtId="178" formatCode="0.000"/>
    <numFmt numFmtId="179" formatCode="0.000000%"/>
    <numFmt numFmtId="180" formatCode="&quot;$&quot;#,##0"/>
    <numFmt numFmtId="181" formatCode="_ &quot;$&quot;\ * #,##0.00_ ;_ &quot;$&quot;\ * \-#,##0.00_ ;_ &quot;$&quot;\ * &quot;-&quot;??_ ;_ @_ "/>
    <numFmt numFmtId="182" formatCode="_ * #,##0.00_ ;_ * \-#,##0.00_ ;_ * &quot;-&quot;??_ ;_ @_ "/>
    <numFmt numFmtId="183" formatCode="0.0000"/>
    <numFmt numFmtId="184" formatCode="&quot;$&quot;\ #,##0.00"/>
    <numFmt numFmtId="185" formatCode="#,##0.0"/>
    <numFmt numFmtId="186" formatCode="_(* #,##0_);_(* \(#,##0\);_(* &quot;-&quot;??_);_(@_)"/>
  </numFmts>
  <fonts count="62" x14ac:knownFonts="1">
    <font>
      <sz val="10"/>
      <name val="Arial"/>
      <family val="2"/>
    </font>
    <font>
      <sz val="11"/>
      <color theme="1"/>
      <name val="Calibri"/>
      <family val="2"/>
      <scheme val="minor"/>
    </font>
    <font>
      <b/>
      <sz val="10"/>
      <name val="Arial"/>
      <family val="2"/>
    </font>
    <font>
      <sz val="8"/>
      <color indexed="8"/>
      <name val="Tahoma"/>
      <family val="2"/>
    </font>
    <font>
      <b/>
      <sz val="8"/>
      <color indexed="8"/>
      <name val="Tahoma"/>
      <family val="2"/>
    </font>
    <font>
      <b/>
      <sz val="10"/>
      <name val="MS Sans Serif"/>
      <family val="2"/>
    </font>
    <font>
      <sz val="8"/>
      <name val="Arial"/>
      <family val="2"/>
    </font>
    <font>
      <sz val="10"/>
      <color indexed="57"/>
      <name val="Arial"/>
      <family val="2"/>
    </font>
    <font>
      <b/>
      <sz val="10"/>
      <color indexed="57"/>
      <name val="Arial"/>
      <family val="2"/>
    </font>
    <font>
      <sz val="10"/>
      <name val="Verdana"/>
      <family val="2"/>
    </font>
    <font>
      <sz val="10"/>
      <name val="Arial"/>
      <family val="2"/>
    </font>
    <font>
      <b/>
      <sz val="8"/>
      <name val="Arial"/>
      <family val="2"/>
    </font>
    <font>
      <sz val="11"/>
      <color indexed="8"/>
      <name val="Calibri"/>
      <family val="2"/>
    </font>
    <font>
      <b/>
      <sz val="11"/>
      <color indexed="8"/>
      <name val="Calibri"/>
      <family val="2"/>
    </font>
    <font>
      <sz val="11"/>
      <color theme="0"/>
      <name val="Calibri"/>
      <family val="2"/>
    </font>
    <font>
      <b/>
      <sz val="11"/>
      <color theme="0"/>
      <name val="Calibri"/>
      <family val="2"/>
    </font>
    <font>
      <b/>
      <sz val="10"/>
      <color theme="0"/>
      <name val="Calibri"/>
      <family val="2"/>
    </font>
    <font>
      <b/>
      <sz val="11"/>
      <color theme="1"/>
      <name val="Calibri"/>
      <family val="2"/>
      <scheme val="minor"/>
    </font>
    <font>
      <sz val="10"/>
      <name val="Arial"/>
      <family val="2"/>
    </font>
    <font>
      <b/>
      <sz val="12"/>
      <name val="Arial"/>
      <family val="2"/>
    </font>
    <font>
      <b/>
      <sz val="14"/>
      <name val="Arial"/>
      <family val="2"/>
    </font>
    <font>
      <sz val="10"/>
      <name val="Trebuchet MS"/>
      <family val="2"/>
    </font>
    <font>
      <b/>
      <sz val="8"/>
      <color indexed="20"/>
      <name val="Arial"/>
      <family val="2"/>
    </font>
    <font>
      <b/>
      <sz val="8"/>
      <color indexed="12"/>
      <name val="Arial"/>
      <family val="2"/>
    </font>
    <font>
      <b/>
      <sz val="8"/>
      <color indexed="49"/>
      <name val="Arial"/>
      <family val="2"/>
    </font>
    <font>
      <b/>
      <sz val="8"/>
      <color indexed="57"/>
      <name val="Arial"/>
      <family val="2"/>
    </font>
    <font>
      <b/>
      <sz val="8"/>
      <color indexed="53"/>
      <name val="Arial"/>
      <family val="2"/>
    </font>
    <font>
      <b/>
      <sz val="8"/>
      <name val="Trebuchet MS"/>
      <family val="2"/>
    </font>
    <font>
      <b/>
      <sz val="14"/>
      <color theme="1"/>
      <name val="Calibri"/>
      <family val="2"/>
      <scheme val="minor"/>
    </font>
    <font>
      <sz val="10"/>
      <name val="Arial Narrow"/>
      <family val="2"/>
    </font>
    <font>
      <b/>
      <sz val="10"/>
      <name val="Arial Narrow"/>
      <family val="2"/>
    </font>
    <font>
      <sz val="8"/>
      <color theme="1"/>
      <name val="Calibri"/>
      <family val="2"/>
      <scheme val="minor"/>
    </font>
    <font>
      <sz val="8"/>
      <name val="Arial Narrow"/>
      <family val="2"/>
    </font>
    <font>
      <sz val="9"/>
      <name val="Arial Narrow"/>
      <family val="2"/>
    </font>
    <font>
      <b/>
      <sz val="9"/>
      <name val="Arial Narrow"/>
      <family val="2"/>
    </font>
    <font>
      <b/>
      <sz val="11"/>
      <name val="Arial"/>
      <family val="2"/>
    </font>
    <font>
      <sz val="9"/>
      <color indexed="81"/>
      <name val="Tahoma"/>
      <family val="2"/>
    </font>
    <font>
      <b/>
      <sz val="9"/>
      <color indexed="81"/>
      <name val="Tahoma"/>
      <family val="2"/>
    </font>
    <font>
      <b/>
      <sz val="10"/>
      <color theme="0"/>
      <name val="Arial"/>
      <family val="2"/>
    </font>
    <font>
      <sz val="10"/>
      <color theme="0"/>
      <name val="Arial"/>
      <family val="2"/>
    </font>
    <font>
      <sz val="9"/>
      <name val="Arial"/>
      <family val="2"/>
    </font>
    <font>
      <b/>
      <sz val="9"/>
      <name val="Arial"/>
      <family val="2"/>
    </font>
    <font>
      <sz val="12"/>
      <name val="Wingdings 2"/>
      <family val="1"/>
      <charset val="2"/>
    </font>
    <font>
      <b/>
      <sz val="12"/>
      <name val="Wingdings 2"/>
      <family val="1"/>
      <charset val="2"/>
    </font>
    <font>
      <sz val="10"/>
      <color rgb="FFFF0000"/>
      <name val="Arial"/>
      <family val="2"/>
    </font>
    <font>
      <b/>
      <sz val="10"/>
      <name val="Trebuchet MS"/>
      <family val="2"/>
    </font>
    <font>
      <u/>
      <sz val="10"/>
      <color theme="10"/>
      <name val="Arial"/>
      <family val="2"/>
    </font>
    <font>
      <b/>
      <sz val="8"/>
      <color indexed="81"/>
      <name val="Tahoma"/>
      <family val="2"/>
    </font>
    <font>
      <sz val="10"/>
      <color theme="1"/>
      <name val="Calibri"/>
      <family val="2"/>
      <scheme val="minor"/>
    </font>
    <font>
      <b/>
      <sz val="10"/>
      <color theme="1"/>
      <name val="Calibri"/>
      <family val="2"/>
      <scheme val="minor"/>
    </font>
    <font>
      <b/>
      <sz val="10"/>
      <name val="Calibri"/>
      <family val="2"/>
      <scheme val="minor"/>
    </font>
    <font>
      <sz val="10"/>
      <name val="Calibri"/>
      <family val="2"/>
      <scheme val="minor"/>
    </font>
    <font>
      <sz val="10"/>
      <color theme="0"/>
      <name val="Calibri"/>
      <family val="2"/>
      <scheme val="minor"/>
    </font>
    <font>
      <b/>
      <sz val="10"/>
      <color indexed="8"/>
      <name val="Calibri"/>
      <family val="2"/>
      <scheme val="minor"/>
    </font>
    <font>
      <b/>
      <sz val="10"/>
      <color rgb="FFFF0000"/>
      <name val="Calibri"/>
      <family val="2"/>
      <scheme val="minor"/>
    </font>
    <font>
      <sz val="10"/>
      <color rgb="FFFF0000"/>
      <name val="Calibri"/>
      <family val="2"/>
      <scheme val="minor"/>
    </font>
    <font>
      <sz val="10"/>
      <color theme="1"/>
      <name val="Arial"/>
      <family val="2"/>
    </font>
    <font>
      <b/>
      <sz val="10"/>
      <color theme="1"/>
      <name val="Arial"/>
      <family val="2"/>
    </font>
    <font>
      <b/>
      <sz val="9"/>
      <color theme="1"/>
      <name val="Arial"/>
      <family val="2"/>
    </font>
    <font>
      <sz val="12"/>
      <color rgb="FF000000"/>
      <name val="Calibri"/>
      <family val="2"/>
    </font>
    <font>
      <sz val="10"/>
      <color theme="1"/>
      <name val="Calibri"/>
      <scheme val="minor"/>
    </font>
    <font>
      <sz val="10"/>
      <name val="Calibri"/>
      <scheme val="minor"/>
    </font>
  </fonts>
  <fills count="39">
    <fill>
      <patternFill patternType="none"/>
    </fill>
    <fill>
      <patternFill patternType="gray125"/>
    </fill>
    <fill>
      <patternFill patternType="solid">
        <fgColor indexed="9"/>
        <bgColor indexed="26"/>
      </patternFill>
    </fill>
    <fill>
      <patternFill patternType="solid">
        <fgColor indexed="27"/>
        <bgColor indexed="41"/>
      </patternFill>
    </fill>
    <fill>
      <patternFill patternType="solid">
        <fgColor indexed="22"/>
        <bgColor indexed="31"/>
      </patternFill>
    </fill>
    <fill>
      <patternFill patternType="solid">
        <fgColor indexed="42"/>
        <bgColor indexed="27"/>
      </patternFill>
    </fill>
    <fill>
      <patternFill patternType="solid">
        <fgColor indexed="42"/>
        <bgColor indexed="64"/>
      </patternFill>
    </fill>
    <fill>
      <patternFill patternType="solid">
        <fgColor indexed="13"/>
        <bgColor indexed="64"/>
      </patternFill>
    </fill>
    <fill>
      <patternFill patternType="solid">
        <fgColor rgb="FFFFFF00"/>
        <bgColor indexed="41"/>
      </patternFill>
    </fill>
    <fill>
      <patternFill patternType="solid">
        <fgColor theme="0"/>
        <bgColor indexed="26"/>
      </patternFill>
    </fill>
    <fill>
      <patternFill patternType="solid">
        <fgColor theme="0"/>
        <bgColor indexed="41"/>
      </patternFill>
    </fill>
    <fill>
      <patternFill patternType="solid">
        <fgColor rgb="FFFFFF00"/>
        <bgColor indexed="64"/>
      </patternFill>
    </fill>
    <fill>
      <patternFill patternType="solid">
        <fgColor theme="4" tint="0.79998168889431442"/>
        <bgColor indexed="64"/>
      </patternFill>
    </fill>
    <fill>
      <patternFill patternType="solid">
        <fgColor theme="3" tint="-0.499984740745262"/>
        <bgColor indexed="64"/>
      </patternFill>
    </fill>
    <fill>
      <patternFill patternType="solid">
        <fgColor indexed="44"/>
        <bgColor indexed="64"/>
      </patternFill>
    </fill>
    <fill>
      <patternFill patternType="solid">
        <fgColor theme="0" tint="-0.14999847407452621"/>
        <bgColor indexed="64"/>
      </patternFill>
    </fill>
    <fill>
      <patternFill patternType="solid">
        <fgColor indexed="10"/>
        <bgColor indexed="64"/>
      </patternFill>
    </fill>
    <fill>
      <patternFill patternType="solid">
        <fgColor indexed="40"/>
        <bgColor indexed="64"/>
      </patternFill>
    </fill>
    <fill>
      <patternFill patternType="solid">
        <fgColor indexed="41"/>
        <bgColor indexed="64"/>
      </patternFill>
    </fill>
    <fill>
      <patternFill patternType="solid">
        <fgColor indexed="43"/>
        <bgColor indexed="64"/>
      </patternFill>
    </fill>
    <fill>
      <patternFill patternType="solid">
        <fgColor indexed="11"/>
        <bgColor indexed="64"/>
      </patternFill>
    </fill>
    <fill>
      <patternFill patternType="solid">
        <fgColor rgb="FF00B0F0"/>
        <bgColor indexed="64"/>
      </patternFill>
    </fill>
    <fill>
      <patternFill patternType="solid">
        <fgColor indexed="15"/>
        <bgColor indexed="64"/>
      </patternFill>
    </fill>
    <fill>
      <patternFill patternType="solid">
        <fgColor indexed="53"/>
        <bgColor indexed="64"/>
      </patternFill>
    </fill>
    <fill>
      <patternFill patternType="solid">
        <fgColor theme="0"/>
        <bgColor indexed="64"/>
      </patternFill>
    </fill>
    <fill>
      <patternFill patternType="solid">
        <fgColor indexed="22"/>
        <bgColor indexed="64"/>
      </patternFill>
    </fill>
    <fill>
      <patternFill patternType="lightDown">
        <bgColor indexed="53"/>
      </patternFill>
    </fill>
    <fill>
      <patternFill patternType="solid">
        <fgColor indexed="9"/>
        <bgColor indexed="64"/>
      </patternFill>
    </fill>
    <fill>
      <patternFill patternType="solid">
        <fgColor indexed="31"/>
        <bgColor indexed="64"/>
      </patternFill>
    </fill>
    <fill>
      <patternFill patternType="solid">
        <fgColor rgb="FF00FF00"/>
        <bgColor indexed="64"/>
      </patternFill>
    </fill>
    <fill>
      <patternFill patternType="solid">
        <fgColor rgb="FFFF0000"/>
        <bgColor indexed="64"/>
      </patternFill>
    </fill>
    <fill>
      <patternFill patternType="solid">
        <fgColor indexed="51"/>
        <bgColor indexed="64"/>
      </patternFill>
    </fill>
    <fill>
      <patternFill patternType="solid">
        <fgColor theme="3" tint="-0.499984740745262"/>
        <bgColor indexed="31"/>
      </patternFill>
    </fill>
    <fill>
      <patternFill patternType="solid">
        <fgColor theme="9" tint="0.79998168889431442"/>
        <bgColor indexed="26"/>
      </patternFill>
    </fill>
    <fill>
      <patternFill patternType="solid">
        <fgColor theme="9" tint="0.79998168889431442"/>
        <bgColor indexed="41"/>
      </patternFill>
    </fill>
    <fill>
      <patternFill patternType="solid">
        <fgColor rgb="FFFFFF99"/>
        <bgColor indexed="64"/>
      </patternFill>
    </fill>
    <fill>
      <patternFill patternType="solid">
        <fgColor rgb="FFD3DFEE"/>
        <bgColor indexed="64"/>
      </patternFill>
    </fill>
    <fill>
      <patternFill patternType="solid">
        <fgColor rgb="FFFFFF99"/>
        <bgColor indexed="26"/>
      </patternFill>
    </fill>
    <fill>
      <patternFill patternType="solid">
        <fgColor rgb="FFFFFF99"/>
        <bgColor indexed="41"/>
      </patternFill>
    </fill>
  </fills>
  <borders count="167">
    <border>
      <left/>
      <right/>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bottom/>
      <diagonal/>
    </border>
    <border>
      <left style="medium">
        <color indexed="8"/>
      </left>
      <right style="thin">
        <color indexed="8"/>
      </right>
      <top style="medium">
        <color indexed="8"/>
      </top>
      <bottom style="medium">
        <color indexed="8"/>
      </bottom>
      <diagonal/>
    </border>
    <border>
      <left style="thin">
        <color indexed="8"/>
      </left>
      <right/>
      <top style="medium">
        <color indexed="8"/>
      </top>
      <bottom style="medium">
        <color indexed="8"/>
      </bottom>
      <diagonal/>
    </border>
    <border>
      <left style="thin">
        <color indexed="8"/>
      </left>
      <right style="thin">
        <color indexed="8"/>
      </right>
      <top style="thin">
        <color indexed="8"/>
      </top>
      <bottom style="medium">
        <color indexed="8"/>
      </bottom>
      <diagonal/>
    </border>
    <border>
      <left/>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medium">
        <color indexed="8"/>
      </left>
      <right style="medium">
        <color indexed="8"/>
      </right>
      <top style="medium">
        <color indexed="8"/>
      </top>
      <bottom style="medium">
        <color indexed="8"/>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right style="thin">
        <color indexed="8"/>
      </right>
      <top/>
      <bottom style="thin">
        <color indexed="8"/>
      </bottom>
      <diagonal/>
    </border>
    <border>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8"/>
      </left>
      <right style="medium">
        <color indexed="8"/>
      </right>
      <top style="medium">
        <color indexed="8"/>
      </top>
      <bottom style="thin">
        <color indexed="8"/>
      </bottom>
      <diagonal/>
    </border>
    <border>
      <left/>
      <right style="medium">
        <color indexed="8"/>
      </right>
      <top/>
      <bottom/>
      <diagonal/>
    </border>
    <border>
      <left style="medium">
        <color indexed="8"/>
      </left>
      <right style="thin">
        <color indexed="8"/>
      </right>
      <top/>
      <bottom/>
      <diagonal/>
    </border>
    <border>
      <left style="medium">
        <color indexed="8"/>
      </left>
      <right style="medium">
        <color indexed="8"/>
      </right>
      <top style="medium">
        <color indexed="8"/>
      </top>
      <bottom/>
      <diagonal/>
    </border>
    <border>
      <left style="thin">
        <color indexed="8"/>
      </left>
      <right/>
      <top/>
      <bottom/>
      <diagonal/>
    </border>
    <border>
      <left style="thin">
        <color indexed="8"/>
      </left>
      <right style="medium">
        <color indexed="8"/>
      </right>
      <top/>
      <bottom/>
      <diagonal/>
    </border>
    <border>
      <left style="medium">
        <color indexed="8"/>
      </left>
      <right style="medium">
        <color indexed="8"/>
      </right>
      <top/>
      <bottom/>
      <diagonal/>
    </border>
    <border>
      <left style="medium">
        <color indexed="8"/>
      </left>
      <right style="medium">
        <color indexed="8"/>
      </right>
      <top/>
      <bottom style="medium">
        <color indexed="8"/>
      </bottom>
      <diagonal/>
    </border>
    <border>
      <left style="thin">
        <color indexed="8"/>
      </left>
      <right style="thin">
        <color indexed="8"/>
      </right>
      <top style="medium">
        <color indexed="8"/>
      </top>
      <bottom/>
      <diagonal/>
    </border>
    <border>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medium">
        <color indexed="8"/>
      </left>
      <right/>
      <top/>
      <bottom/>
      <diagonal/>
    </border>
    <border>
      <left style="medium">
        <color indexed="8"/>
      </left>
      <right/>
      <top/>
      <bottom style="thin">
        <color indexed="8"/>
      </bottom>
      <diagonal/>
    </border>
    <border>
      <left/>
      <right style="medium">
        <color indexed="8"/>
      </right>
      <top/>
      <bottom style="thin">
        <color indexed="8"/>
      </bottom>
      <diagonal/>
    </border>
    <border>
      <left style="thin">
        <color indexed="8"/>
      </left>
      <right style="medium">
        <color indexed="8"/>
      </right>
      <top/>
      <bottom style="medium">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diagonal/>
    </border>
    <border>
      <left/>
      <right/>
      <top style="thin">
        <color indexed="8"/>
      </top>
      <bottom style="thin">
        <color indexed="8"/>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thin">
        <color indexed="8"/>
      </right>
      <top style="medium">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style="double">
        <color indexed="64"/>
      </left>
      <right style="double">
        <color indexed="64"/>
      </right>
      <top style="double">
        <color indexed="64"/>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double">
        <color indexed="64"/>
      </right>
      <top style="double">
        <color indexed="64"/>
      </top>
      <bottom style="double">
        <color indexed="64"/>
      </bottom>
      <diagonal/>
    </border>
    <border>
      <left style="double">
        <color indexed="64"/>
      </left>
      <right/>
      <top style="double">
        <color indexed="64"/>
      </top>
      <bottom style="double">
        <color indexed="64"/>
      </bottom>
      <diagonal/>
    </border>
    <border>
      <left style="double">
        <color indexed="64"/>
      </left>
      <right style="double">
        <color indexed="64"/>
      </right>
      <top/>
      <bottom style="double">
        <color indexed="64"/>
      </bottom>
      <diagonal/>
    </border>
    <border>
      <left style="double">
        <color indexed="64"/>
      </left>
      <right style="double">
        <color indexed="64"/>
      </right>
      <top style="double">
        <color indexed="64"/>
      </top>
      <bottom style="thick">
        <color indexed="64"/>
      </bottom>
      <diagonal/>
    </border>
    <border>
      <left style="double">
        <color indexed="64"/>
      </left>
      <right style="double">
        <color indexed="64"/>
      </right>
      <top/>
      <bottom style="thick">
        <color indexed="64"/>
      </bottom>
      <diagonal/>
    </border>
    <border>
      <left style="double">
        <color indexed="64"/>
      </left>
      <right style="double">
        <color indexed="64"/>
      </right>
      <top/>
      <bottom/>
      <diagonal/>
    </border>
    <border>
      <left style="double">
        <color indexed="64"/>
      </left>
      <right style="double">
        <color indexed="64"/>
      </right>
      <top style="double">
        <color indexed="64"/>
      </top>
      <bottom/>
      <diagonal/>
    </border>
    <border>
      <left style="double">
        <color indexed="64"/>
      </left>
      <right/>
      <top style="double">
        <color indexed="64"/>
      </top>
      <bottom/>
      <diagonal/>
    </border>
    <border>
      <left style="double">
        <color indexed="64"/>
      </left>
      <right style="double">
        <color indexed="64"/>
      </right>
      <top style="thick">
        <color indexed="64"/>
      </top>
      <bottom style="double">
        <color indexed="64"/>
      </bottom>
      <diagonal/>
    </border>
    <border>
      <left style="double">
        <color indexed="64"/>
      </left>
      <right/>
      <top/>
      <bottom/>
      <diagonal/>
    </border>
    <border>
      <left style="double">
        <color indexed="64"/>
      </left>
      <right style="double">
        <color indexed="64"/>
      </right>
      <top style="thick">
        <color indexed="64"/>
      </top>
      <bottom/>
      <diagonal/>
    </border>
    <border>
      <left style="thick">
        <color indexed="64"/>
      </left>
      <right style="double">
        <color indexed="64"/>
      </right>
      <top/>
      <bottom style="thick">
        <color indexed="64"/>
      </bottom>
      <diagonal/>
    </border>
    <border>
      <left style="thick">
        <color indexed="64"/>
      </left>
      <right style="double">
        <color indexed="64"/>
      </right>
      <top style="thick">
        <color indexed="64"/>
      </top>
      <bottom/>
      <diagonal/>
    </border>
    <border>
      <left style="thick">
        <color indexed="64"/>
      </left>
      <right style="double">
        <color indexed="64"/>
      </right>
      <top/>
      <bottom/>
      <diagonal/>
    </border>
    <border>
      <left style="double">
        <color indexed="64"/>
      </left>
      <right/>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bottom/>
      <diagonal/>
    </border>
    <border>
      <left/>
      <right/>
      <top/>
      <bottom style="thin">
        <color indexed="64"/>
      </bottom>
      <diagonal/>
    </border>
    <border>
      <left/>
      <right/>
      <top style="thin">
        <color indexed="64"/>
      </top>
      <bottom/>
      <diagonal/>
    </border>
    <border>
      <left style="thin">
        <color indexed="64"/>
      </left>
      <right/>
      <top/>
      <bottom style="double">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bottom style="medium">
        <color indexed="64"/>
      </bottom>
      <diagonal/>
    </border>
    <border>
      <left style="medium">
        <color indexed="64"/>
      </left>
      <right/>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right/>
      <top/>
      <bottom style="medium">
        <color indexed="64"/>
      </bottom>
      <diagonal/>
    </border>
    <border>
      <left/>
      <right style="medium">
        <color indexed="64"/>
      </right>
      <top/>
      <bottom/>
      <diagonal/>
    </border>
    <border>
      <left style="medium">
        <color indexed="64"/>
      </left>
      <right/>
      <top/>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top style="thin">
        <color indexed="64"/>
      </top>
      <bottom style="thick">
        <color indexed="64"/>
      </bottom>
      <diagonal/>
    </border>
    <border>
      <left/>
      <right style="thin">
        <color indexed="64"/>
      </right>
      <top style="thin">
        <color indexed="64"/>
      </top>
      <bottom style="thick">
        <color indexed="64"/>
      </bottom>
      <diagonal/>
    </border>
    <border>
      <left style="thick">
        <color indexed="64"/>
      </left>
      <right/>
      <top style="thin">
        <color indexed="64"/>
      </top>
      <bottom style="thick">
        <color indexed="64"/>
      </bottom>
      <diagonal/>
    </border>
    <border>
      <left style="thick">
        <color indexed="64"/>
      </left>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top style="thick">
        <color indexed="64"/>
      </top>
      <bottom style="thin">
        <color indexed="64"/>
      </bottom>
      <diagonal/>
    </border>
    <border>
      <left style="thick">
        <color indexed="64"/>
      </left>
      <right style="thin">
        <color indexed="64"/>
      </right>
      <top style="thin">
        <color indexed="64"/>
      </top>
      <bottom/>
      <diagonal/>
    </border>
    <border>
      <left style="medium">
        <color indexed="64"/>
      </left>
      <right style="medium">
        <color indexed="64"/>
      </right>
      <top style="medium">
        <color indexed="8"/>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8"/>
      </bottom>
      <diagonal/>
    </border>
    <border>
      <left style="double">
        <color indexed="64"/>
      </left>
      <right style="thick">
        <color indexed="64"/>
      </right>
      <top/>
      <bottom style="thick">
        <color indexed="64"/>
      </bottom>
      <diagonal/>
    </border>
    <border>
      <left style="double">
        <color indexed="64"/>
      </left>
      <right style="thick">
        <color indexed="64"/>
      </right>
      <top/>
      <bottom/>
      <diagonal/>
    </border>
    <border>
      <left style="double">
        <color indexed="64"/>
      </left>
      <right style="thick">
        <color indexed="64"/>
      </right>
      <top style="thick">
        <color indexed="64"/>
      </top>
      <bottom/>
      <diagonal/>
    </border>
    <border>
      <left/>
      <right style="thin">
        <color indexed="8"/>
      </right>
      <top style="thin">
        <color indexed="8"/>
      </top>
      <bottom/>
      <diagonal/>
    </border>
    <border>
      <left style="medium">
        <color indexed="8"/>
      </left>
      <right/>
      <top style="medium">
        <color indexed="8"/>
      </top>
      <bottom style="double">
        <color indexed="64"/>
      </bottom>
      <diagonal/>
    </border>
    <border>
      <left/>
      <right/>
      <top style="medium">
        <color indexed="8"/>
      </top>
      <bottom style="double">
        <color indexed="64"/>
      </bottom>
      <diagonal/>
    </border>
    <border>
      <left/>
      <right style="medium">
        <color indexed="8"/>
      </right>
      <top style="medium">
        <color indexed="8"/>
      </top>
      <bottom style="double">
        <color indexed="64"/>
      </bottom>
      <diagonal/>
    </border>
    <border>
      <left/>
      <right style="thin">
        <color indexed="8"/>
      </right>
      <top/>
      <bottom style="medium">
        <color indexed="64"/>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thin">
        <color indexed="8"/>
      </left>
      <right style="thin">
        <color indexed="8"/>
      </right>
      <top style="thin">
        <color indexed="8"/>
      </top>
      <bottom style="medium">
        <color indexed="64"/>
      </bottom>
      <diagonal/>
    </border>
    <border>
      <left style="medium">
        <color indexed="64"/>
      </left>
      <right style="thin">
        <color indexed="8"/>
      </right>
      <top style="medium">
        <color indexed="64"/>
      </top>
      <bottom style="thin">
        <color indexed="8"/>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thin">
        <color indexed="8"/>
      </left>
      <right style="medium">
        <color indexed="64"/>
      </right>
      <top style="thin">
        <color indexed="8"/>
      </top>
      <bottom style="thin">
        <color indexed="8"/>
      </bottom>
      <diagonal/>
    </border>
    <border>
      <left style="thin">
        <color indexed="8"/>
      </left>
      <right style="medium">
        <color indexed="64"/>
      </right>
      <top style="thin">
        <color indexed="8"/>
      </top>
      <bottom style="medium">
        <color indexed="64"/>
      </bottom>
      <diagonal/>
    </border>
    <border>
      <left style="medium">
        <color indexed="64"/>
      </left>
      <right style="medium">
        <color indexed="64"/>
      </right>
      <top/>
      <bottom style="thin">
        <color indexed="8"/>
      </bottom>
      <diagonal/>
    </border>
    <border>
      <left/>
      <right/>
      <top style="medium">
        <color rgb="FF4F81BD"/>
      </top>
      <bottom/>
      <diagonal/>
    </border>
    <border>
      <left/>
      <right/>
      <top/>
      <bottom style="medium">
        <color rgb="FF4F81BD"/>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8"/>
      </left>
      <right/>
      <top style="medium">
        <color indexed="64"/>
      </top>
      <bottom style="medium">
        <color indexed="64"/>
      </bottom>
      <diagonal/>
    </border>
    <border>
      <left/>
      <right style="medium">
        <color indexed="8"/>
      </right>
      <top/>
      <bottom style="thin">
        <color indexed="64"/>
      </bottom>
      <diagonal/>
    </border>
    <border>
      <left style="thin">
        <color indexed="8"/>
      </left>
      <right/>
      <top style="thin">
        <color indexed="8"/>
      </top>
      <bottom/>
      <diagonal/>
    </border>
    <border>
      <left/>
      <right/>
      <top style="thin">
        <color indexed="8"/>
      </top>
      <bottom/>
      <diagonal/>
    </border>
  </borders>
  <cellStyleXfs count="18">
    <xf numFmtId="0" fontId="0" fillId="0" borderId="0"/>
    <xf numFmtId="9" fontId="10" fillId="0" borderId="0" applyFill="0" applyBorder="0" applyAlignment="0" applyProtection="0"/>
    <xf numFmtId="165" fontId="10" fillId="0" borderId="0" applyFont="0" applyFill="0" applyBorder="0" applyAlignment="0" applyProtection="0"/>
    <xf numFmtId="0" fontId="12" fillId="0" borderId="0"/>
    <xf numFmtId="9" fontId="12" fillId="0" borderId="0"/>
    <xf numFmtId="174" fontId="12" fillId="0" borderId="0"/>
    <xf numFmtId="176" fontId="12" fillId="0" borderId="0"/>
    <xf numFmtId="0" fontId="18" fillId="0" borderId="0"/>
    <xf numFmtId="0" fontId="10" fillId="0" borderId="0"/>
    <xf numFmtId="9" fontId="18" fillId="0" borderId="0" applyFont="0" applyFill="0" applyBorder="0" applyAlignment="0" applyProtection="0"/>
    <xf numFmtId="181" fontId="18" fillId="0" borderId="0" applyFont="0" applyFill="0" applyBorder="0" applyAlignment="0" applyProtection="0"/>
    <xf numFmtId="182" fontId="18" fillId="0" borderId="0" applyFont="0" applyFill="0" applyBorder="0" applyAlignment="0" applyProtection="0"/>
    <xf numFmtId="0" fontId="46" fillId="0" borderId="0" applyNumberFormat="0" applyFill="0" applyBorder="0" applyAlignment="0" applyProtection="0"/>
    <xf numFmtId="182" fontId="10" fillId="0" borderId="0" applyFont="0" applyFill="0" applyBorder="0" applyAlignment="0" applyProtection="0"/>
    <xf numFmtId="181" fontId="10" fillId="0" borderId="0" applyFont="0" applyFill="0" applyBorder="0" applyAlignment="0" applyProtection="0"/>
    <xf numFmtId="0" fontId="10" fillId="0" borderId="0"/>
    <xf numFmtId="9" fontId="10" fillId="0" borderId="0" applyFont="0" applyFill="0" applyBorder="0" applyAlignment="0" applyProtection="0"/>
    <xf numFmtId="164" fontId="10" fillId="0" borderId="0" applyFont="0" applyFill="0" applyBorder="0" applyAlignment="0" applyProtection="0"/>
  </cellStyleXfs>
  <cellXfs count="1031">
    <xf numFmtId="0" fontId="0" fillId="0" borderId="0" xfId="0"/>
    <xf numFmtId="0" fontId="0" fillId="2" borderId="0" xfId="0" applyFill="1"/>
    <xf numFmtId="0" fontId="0" fillId="2" borderId="0" xfId="0" applyFont="1" applyFill="1"/>
    <xf numFmtId="0" fontId="2" fillId="2" borderId="0" xfId="0" applyFont="1" applyFill="1"/>
    <xf numFmtId="0" fontId="0" fillId="2" borderId="0" xfId="0" applyFont="1" applyFill="1" applyBorder="1" applyProtection="1"/>
    <xf numFmtId="0" fontId="0" fillId="2" borderId="0" xfId="0" applyFont="1" applyFill="1" applyAlignment="1"/>
    <xf numFmtId="166" fontId="0" fillId="2" borderId="4" xfId="0" applyNumberFormat="1" applyFont="1" applyFill="1" applyBorder="1" applyAlignment="1" applyProtection="1">
      <protection locked="0"/>
    </xf>
    <xf numFmtId="0" fontId="0" fillId="2" borderId="0" xfId="0" applyFont="1" applyFill="1" applyBorder="1" applyAlignment="1" applyProtection="1">
      <alignment horizontal="right"/>
    </xf>
    <xf numFmtId="0" fontId="0" fillId="2" borderId="0" xfId="0" applyFont="1" applyFill="1" applyBorder="1"/>
    <xf numFmtId="0" fontId="2" fillId="2" borderId="0" xfId="0" applyFont="1" applyFill="1" applyBorder="1" applyProtection="1"/>
    <xf numFmtId="0" fontId="0" fillId="2" borderId="0" xfId="0" applyFont="1" applyFill="1" applyBorder="1" applyAlignment="1" applyProtection="1">
      <protection locked="0"/>
    </xf>
    <xf numFmtId="0" fontId="0" fillId="2" borderId="0" xfId="0" applyFont="1" applyFill="1" applyBorder="1" applyAlignment="1"/>
    <xf numFmtId="0" fontId="0" fillId="2" borderId="6" xfId="0" applyFont="1" applyFill="1" applyBorder="1"/>
    <xf numFmtId="3" fontId="2" fillId="3" borderId="4" xfId="0" applyNumberFormat="1" applyFont="1" applyFill="1" applyBorder="1"/>
    <xf numFmtId="0" fontId="0" fillId="2" borderId="0" xfId="0" applyFill="1" applyAlignment="1">
      <alignment vertical="top"/>
    </xf>
    <xf numFmtId="0" fontId="2" fillId="2" borderId="0" xfId="0" applyFont="1" applyFill="1" applyAlignment="1">
      <alignment vertical="top"/>
    </xf>
    <xf numFmtId="0" fontId="2" fillId="2" borderId="0" xfId="0" applyFont="1" applyFill="1" applyAlignment="1">
      <alignment vertical="top" wrapText="1"/>
    </xf>
    <xf numFmtId="0" fontId="0" fillId="2" borderId="0" xfId="0" applyFont="1" applyFill="1" applyAlignment="1">
      <alignment vertical="top"/>
    </xf>
    <xf numFmtId="0" fontId="0" fillId="2" borderId="0" xfId="0" applyFont="1" applyFill="1" applyBorder="1" applyAlignment="1">
      <alignment vertical="top"/>
    </xf>
    <xf numFmtId="0" fontId="0" fillId="2" borderId="0" xfId="0" applyFont="1" applyFill="1" applyAlignment="1">
      <alignment vertical="top" wrapText="1"/>
    </xf>
    <xf numFmtId="0" fontId="0" fillId="2" borderId="20" xfId="0" applyFont="1" applyFill="1" applyBorder="1" applyAlignment="1">
      <alignment vertical="top"/>
    </xf>
    <xf numFmtId="0" fontId="0" fillId="2" borderId="21" xfId="0" applyFont="1" applyFill="1" applyBorder="1" applyAlignment="1">
      <alignment vertical="top"/>
    </xf>
    <xf numFmtId="3" fontId="2" fillId="2" borderId="0" xfId="0" applyNumberFormat="1" applyFont="1" applyFill="1" applyAlignment="1">
      <alignment vertical="top"/>
    </xf>
    <xf numFmtId="0" fontId="0" fillId="4" borderId="22" xfId="0" applyFill="1" applyBorder="1" applyAlignment="1">
      <alignment vertical="top"/>
    </xf>
    <xf numFmtId="0" fontId="2" fillId="2" borderId="7" xfId="0" applyFont="1" applyFill="1" applyBorder="1" applyAlignment="1">
      <alignment horizontal="center" vertical="top" wrapText="1"/>
    </xf>
    <xf numFmtId="0" fontId="2" fillId="2" borderId="14" xfId="0" applyFont="1" applyFill="1" applyBorder="1" applyAlignment="1">
      <alignment horizontal="center" vertical="top" wrapText="1"/>
    </xf>
    <xf numFmtId="0" fontId="2" fillId="2" borderId="15" xfId="0" applyFont="1" applyFill="1" applyBorder="1" applyAlignment="1">
      <alignment horizontal="center" vertical="top" wrapText="1"/>
    </xf>
    <xf numFmtId="3" fontId="2" fillId="3" borderId="14" xfId="0" applyNumberFormat="1" applyFont="1" applyFill="1" applyBorder="1" applyAlignment="1">
      <alignment vertical="top"/>
    </xf>
    <xf numFmtId="4" fontId="0" fillId="3" borderId="12" xfId="0" applyNumberFormat="1" applyFont="1" applyFill="1" applyBorder="1" applyAlignment="1">
      <alignment vertical="top"/>
    </xf>
    <xf numFmtId="0" fontId="0" fillId="2" borderId="0" xfId="0" applyFont="1" applyFill="1" applyAlignment="1">
      <alignment horizontal="justify" vertical="top" wrapText="1"/>
    </xf>
    <xf numFmtId="3" fontId="0" fillId="2" borderId="0" xfId="0" applyNumberFormat="1" applyFont="1" applyFill="1" applyBorder="1" applyAlignment="1">
      <alignment horizontal="justify" vertical="top" wrapText="1"/>
    </xf>
    <xf numFmtId="168" fontId="0" fillId="2" borderId="0" xfId="0" applyNumberFormat="1" applyFont="1" applyFill="1" applyAlignment="1">
      <alignment horizontal="justify" vertical="top" wrapText="1"/>
    </xf>
    <xf numFmtId="3" fontId="2" fillId="2" borderId="0" xfId="0" applyNumberFormat="1" applyFont="1" applyFill="1" applyAlignment="1">
      <alignment horizontal="justify" vertical="top" wrapText="1"/>
    </xf>
    <xf numFmtId="9" fontId="2" fillId="2" borderId="0" xfId="1" applyFont="1" applyFill="1" applyBorder="1" applyAlignment="1" applyProtection="1">
      <alignment horizontal="justify" vertical="top" wrapText="1"/>
    </xf>
    <xf numFmtId="3" fontId="0" fillId="2" borderId="0" xfId="0" applyNumberFormat="1" applyFont="1" applyFill="1" applyBorder="1" applyAlignment="1">
      <alignment horizontal="right" vertical="top" wrapText="1"/>
    </xf>
    <xf numFmtId="0" fontId="0" fillId="2" borderId="0" xfId="0" applyFill="1" applyAlignment="1">
      <alignment horizontal="justify" vertical="top" wrapText="1"/>
    </xf>
    <xf numFmtId="169" fontId="0" fillId="2" borderId="0" xfId="0" applyNumberFormat="1" applyFill="1" applyAlignment="1">
      <alignment horizontal="justify" vertical="top" wrapText="1"/>
    </xf>
    <xf numFmtId="4" fontId="0" fillId="3" borderId="22" xfId="0" applyNumberFormat="1" applyFont="1" applyFill="1" applyBorder="1" applyAlignment="1">
      <alignment vertical="top"/>
    </xf>
    <xf numFmtId="1" fontId="0" fillId="2" borderId="0" xfId="0" applyNumberFormat="1" applyFont="1" applyFill="1" applyAlignment="1">
      <alignment vertical="top"/>
    </xf>
    <xf numFmtId="169" fontId="0" fillId="2" borderId="0" xfId="0" applyNumberFormat="1" applyFont="1" applyFill="1" applyAlignment="1">
      <alignment vertical="top"/>
    </xf>
    <xf numFmtId="9" fontId="2" fillId="2" borderId="0" xfId="1" applyFont="1" applyFill="1" applyBorder="1" applyAlignment="1" applyProtection="1">
      <alignment vertical="top"/>
    </xf>
    <xf numFmtId="3" fontId="2" fillId="5" borderId="15" xfId="0" applyNumberFormat="1" applyFont="1" applyFill="1" applyBorder="1" applyAlignment="1">
      <alignment vertical="top"/>
    </xf>
    <xf numFmtId="0" fontId="0" fillId="0" borderId="7" xfId="0" applyFont="1" applyFill="1" applyBorder="1" applyAlignment="1">
      <alignment horizontal="right" vertical="top" wrapText="1"/>
    </xf>
    <xf numFmtId="3" fontId="2" fillId="3" borderId="15" xfId="0" applyNumberFormat="1" applyFont="1" applyFill="1" applyBorder="1" applyAlignment="1">
      <alignment vertical="top" wrapText="1"/>
    </xf>
    <xf numFmtId="0" fontId="7" fillId="2" borderId="0" xfId="0" applyFont="1" applyFill="1" applyBorder="1" applyAlignment="1">
      <alignment vertical="top" wrapText="1"/>
    </xf>
    <xf numFmtId="3" fontId="7" fillId="2" borderId="0" xfId="0" applyNumberFormat="1" applyFont="1" applyFill="1" applyBorder="1" applyAlignment="1">
      <alignment horizontal="right" vertical="top" wrapText="1"/>
    </xf>
    <xf numFmtId="0" fontId="8" fillId="2" borderId="0" xfId="0" applyFont="1" applyFill="1" applyBorder="1" applyAlignment="1">
      <alignment vertical="top" wrapText="1"/>
    </xf>
    <xf numFmtId="3" fontId="8" fillId="2" borderId="0" xfId="0" applyNumberFormat="1" applyFont="1" applyFill="1" applyBorder="1" applyAlignment="1">
      <alignment vertical="top" wrapText="1"/>
    </xf>
    <xf numFmtId="9" fontId="8" fillId="2" borderId="0" xfId="1" applyFont="1" applyFill="1" applyBorder="1" applyAlignment="1" applyProtection="1">
      <alignment vertical="top" wrapText="1"/>
    </xf>
    <xf numFmtId="0" fontId="7" fillId="2" borderId="0" xfId="0" applyFont="1" applyFill="1" applyAlignment="1">
      <alignment vertical="top" wrapText="1"/>
    </xf>
    <xf numFmtId="0" fontId="2" fillId="2" borderId="27" xfId="0" applyFont="1" applyFill="1" applyBorder="1" applyAlignment="1">
      <alignment horizontal="center" vertical="top" wrapText="1"/>
    </xf>
    <xf numFmtId="3" fontId="0" fillId="2" borderId="6" xfId="0" applyNumberFormat="1" applyFont="1" applyFill="1" applyBorder="1" applyAlignment="1">
      <alignment vertical="top"/>
    </xf>
    <xf numFmtId="0" fontId="0" fillId="2" borderId="23" xfId="0" applyFont="1" applyFill="1" applyBorder="1" applyAlignment="1">
      <alignment vertical="top"/>
    </xf>
    <xf numFmtId="166" fontId="0" fillId="2" borderId="27" xfId="0" applyNumberFormat="1" applyFont="1" applyFill="1" applyBorder="1" applyAlignment="1" applyProtection="1">
      <protection locked="0"/>
    </xf>
    <xf numFmtId="166" fontId="0" fillId="2" borderId="6" xfId="0" applyNumberFormat="1" applyFont="1" applyFill="1" applyBorder="1" applyAlignment="1" applyProtection="1">
      <protection locked="0"/>
    </xf>
    <xf numFmtId="0" fontId="0" fillId="0" borderId="0" xfId="0" applyFont="1" applyFill="1" applyBorder="1" applyAlignment="1">
      <alignment vertical="top"/>
    </xf>
    <xf numFmtId="0" fontId="2" fillId="2" borderId="0" xfId="0" applyFont="1" applyFill="1" applyAlignment="1">
      <alignment horizontal="center" vertical="top" wrapText="1"/>
    </xf>
    <xf numFmtId="3" fontId="0" fillId="2" borderId="6" xfId="1" applyNumberFormat="1" applyFont="1" applyFill="1" applyBorder="1" applyAlignment="1" applyProtection="1">
      <alignment vertical="top"/>
    </xf>
    <xf numFmtId="4" fontId="0" fillId="2" borderId="23" xfId="0" applyNumberFormat="1" applyFont="1" applyFill="1" applyBorder="1" applyAlignment="1">
      <alignment vertical="top"/>
    </xf>
    <xf numFmtId="9" fontId="0" fillId="2" borderId="6" xfId="0" applyNumberFormat="1" applyFont="1" applyFill="1" applyBorder="1" applyAlignment="1">
      <alignment vertical="top"/>
    </xf>
    <xf numFmtId="3" fontId="2" fillId="3" borderId="28" xfId="0" applyNumberFormat="1" applyFont="1" applyFill="1" applyBorder="1" applyAlignment="1">
      <alignment vertical="top"/>
    </xf>
    <xf numFmtId="0" fontId="2" fillId="2" borderId="10" xfId="0" applyFont="1" applyFill="1" applyBorder="1" applyAlignment="1">
      <alignment vertical="top"/>
    </xf>
    <xf numFmtId="0" fontId="2" fillId="0" borderId="0" xfId="0" applyFont="1" applyFill="1" applyBorder="1" applyAlignment="1">
      <alignment horizontal="center" vertical="top" wrapText="1"/>
    </xf>
    <xf numFmtId="0" fontId="2" fillId="2" borderId="30" xfId="0" applyFont="1" applyFill="1" applyBorder="1" applyAlignment="1">
      <alignment horizontal="center" vertical="top" wrapText="1"/>
    </xf>
    <xf numFmtId="0" fontId="2" fillId="2" borderId="31" xfId="0" applyFont="1" applyFill="1" applyBorder="1" applyAlignment="1">
      <alignment horizontal="center" vertical="top" wrapText="1"/>
    </xf>
    <xf numFmtId="0" fontId="2" fillId="2" borderId="32" xfId="0" applyFont="1" applyFill="1" applyBorder="1" applyAlignment="1">
      <alignment horizontal="center" vertical="top" wrapText="1"/>
    </xf>
    <xf numFmtId="9" fontId="0" fillId="2" borderId="0" xfId="1" applyFont="1" applyFill="1" applyBorder="1" applyAlignment="1" applyProtection="1">
      <alignment vertical="top"/>
    </xf>
    <xf numFmtId="0" fontId="0" fillId="2" borderId="10" xfId="0" applyFont="1" applyFill="1" applyBorder="1" applyAlignment="1">
      <alignment vertical="top"/>
    </xf>
    <xf numFmtId="10" fontId="2" fillId="0" borderId="28" xfId="1" applyNumberFormat="1" applyFont="1" applyFill="1" applyBorder="1" applyAlignment="1" applyProtection="1">
      <alignment vertical="top"/>
    </xf>
    <xf numFmtId="3" fontId="0" fillId="2" borderId="0" xfId="0" applyNumberFormat="1" applyFont="1" applyFill="1" applyAlignment="1">
      <alignment vertical="top"/>
    </xf>
    <xf numFmtId="0" fontId="2" fillId="3" borderId="34" xfId="0" applyFont="1" applyFill="1" applyBorder="1" applyAlignment="1">
      <alignment horizontal="center" vertical="top"/>
    </xf>
    <xf numFmtId="0" fontId="9" fillId="2" borderId="0" xfId="0" applyFont="1" applyFill="1" applyAlignment="1">
      <alignment horizontal="left" indent="1"/>
    </xf>
    <xf numFmtId="0" fontId="0" fillId="2" borderId="33" xfId="0" applyFont="1" applyFill="1" applyBorder="1"/>
    <xf numFmtId="0" fontId="0" fillId="2" borderId="24" xfId="0" applyFont="1" applyFill="1" applyBorder="1"/>
    <xf numFmtId="3" fontId="0" fillId="2" borderId="24" xfId="0" applyNumberFormat="1" applyFont="1" applyFill="1" applyBorder="1"/>
    <xf numFmtId="3" fontId="0" fillId="3" borderId="24" xfId="0" applyNumberFormat="1" applyFont="1" applyFill="1" applyBorder="1"/>
    <xf numFmtId="0" fontId="0" fillId="2" borderId="30" xfId="0" applyFont="1" applyFill="1" applyBorder="1"/>
    <xf numFmtId="0" fontId="0" fillId="2" borderId="31" xfId="0" applyFont="1" applyFill="1" applyBorder="1"/>
    <xf numFmtId="3" fontId="0" fillId="2" borderId="36" xfId="0" applyNumberFormat="1" applyFont="1" applyFill="1" applyBorder="1"/>
    <xf numFmtId="0" fontId="0" fillId="4" borderId="28" xfId="0" applyFont="1" applyFill="1" applyBorder="1"/>
    <xf numFmtId="0" fontId="2" fillId="2" borderId="37" xfId="0" applyFont="1" applyFill="1" applyBorder="1" applyAlignment="1">
      <alignment horizontal="center"/>
    </xf>
    <xf numFmtId="0" fontId="2" fillId="2" borderId="38" xfId="0" applyFont="1" applyFill="1" applyBorder="1" applyAlignment="1">
      <alignment horizontal="center"/>
    </xf>
    <xf numFmtId="0" fontId="2" fillId="2" borderId="16" xfId="0" applyFont="1" applyFill="1" applyBorder="1" applyAlignment="1">
      <alignment horizontal="center"/>
    </xf>
    <xf numFmtId="3" fontId="2" fillId="2" borderId="5" xfId="0" applyNumberFormat="1" applyFont="1" applyFill="1" applyBorder="1" applyAlignment="1">
      <alignment horizontal="center"/>
    </xf>
    <xf numFmtId="0" fontId="2" fillId="2" borderId="5" xfId="0" applyFont="1" applyFill="1" applyBorder="1" applyAlignment="1">
      <alignment horizontal="center"/>
    </xf>
    <xf numFmtId="0" fontId="0" fillId="2" borderId="23" xfId="0" applyFont="1" applyFill="1" applyBorder="1"/>
    <xf numFmtId="0" fontId="2" fillId="2" borderId="0" xfId="0" applyFont="1" applyFill="1" applyBorder="1"/>
    <xf numFmtId="0" fontId="2" fillId="2" borderId="39" xfId="0" applyFont="1" applyFill="1" applyBorder="1"/>
    <xf numFmtId="4" fontId="0" fillId="2" borderId="6" xfId="0" applyNumberFormat="1" applyFont="1" applyFill="1" applyBorder="1"/>
    <xf numFmtId="3" fontId="0" fillId="2" borderId="0" xfId="0" applyNumberFormat="1" applyFont="1" applyFill="1" applyBorder="1"/>
    <xf numFmtId="3" fontId="0" fillId="3" borderId="6" xfId="0" applyNumberFormat="1" applyFont="1" applyFill="1" applyBorder="1"/>
    <xf numFmtId="3" fontId="0" fillId="2" borderId="6" xfId="0" applyNumberFormat="1" applyFont="1" applyFill="1" applyBorder="1"/>
    <xf numFmtId="0" fontId="2" fillId="2" borderId="1" xfId="0" applyFont="1" applyFill="1" applyBorder="1" applyAlignment="1">
      <alignment horizontal="right"/>
    </xf>
    <xf numFmtId="0" fontId="2" fillId="2" borderId="40" xfId="0" applyFont="1" applyFill="1" applyBorder="1"/>
    <xf numFmtId="0" fontId="2" fillId="2" borderId="2" xfId="0" applyFont="1" applyFill="1" applyBorder="1"/>
    <xf numFmtId="4" fontId="2" fillId="2" borderId="0" xfId="0" applyNumberFormat="1" applyFont="1" applyFill="1" applyBorder="1"/>
    <xf numFmtId="9" fontId="2" fillId="2" borderId="40" xfId="0" applyNumberFormat="1" applyFont="1" applyFill="1" applyBorder="1"/>
    <xf numFmtId="0" fontId="2" fillId="2" borderId="4" xfId="0" applyFont="1" applyFill="1" applyBorder="1" applyAlignment="1">
      <alignment horizontal="left"/>
    </xf>
    <xf numFmtId="0" fontId="2" fillId="2" borderId="4" xfId="0" applyFont="1" applyFill="1" applyBorder="1"/>
    <xf numFmtId="0" fontId="2" fillId="2" borderId="0" xfId="0" applyFont="1" applyFill="1" applyBorder="1" applyAlignment="1">
      <alignment horizontal="right"/>
    </xf>
    <xf numFmtId="9" fontId="2" fillId="2" borderId="0" xfId="0" applyNumberFormat="1" applyFont="1" applyFill="1" applyBorder="1"/>
    <xf numFmtId="4" fontId="2" fillId="3" borderId="0" xfId="0" applyNumberFormat="1" applyFont="1" applyFill="1" applyBorder="1"/>
    <xf numFmtId="4" fontId="2" fillId="3" borderId="0" xfId="0" applyNumberFormat="1" applyFont="1" applyFill="1"/>
    <xf numFmtId="0" fontId="2" fillId="4" borderId="29" xfId="0" applyFont="1" applyFill="1" applyBorder="1"/>
    <xf numFmtId="0" fontId="2" fillId="4" borderId="10" xfId="0" applyFont="1" applyFill="1" applyBorder="1"/>
    <xf numFmtId="3" fontId="0" fillId="4" borderId="10" xfId="0" applyNumberFormat="1" applyFont="1" applyFill="1" applyBorder="1"/>
    <xf numFmtId="3" fontId="0" fillId="4" borderId="28" xfId="0" applyNumberFormat="1" applyFont="1" applyFill="1" applyBorder="1"/>
    <xf numFmtId="0" fontId="2" fillId="2" borderId="41" xfId="0" applyFont="1" applyFill="1" applyBorder="1"/>
    <xf numFmtId="0" fontId="2" fillId="2" borderId="42" xfId="0" applyFont="1" applyFill="1" applyBorder="1"/>
    <xf numFmtId="0" fontId="2" fillId="2" borderId="43" xfId="0" applyFont="1" applyFill="1" applyBorder="1"/>
    <xf numFmtId="3" fontId="2" fillId="2" borderId="11" xfId="0" applyNumberFormat="1" applyFont="1" applyFill="1" applyBorder="1"/>
    <xf numFmtId="3" fontId="2" fillId="2" borderId="19" xfId="0" applyNumberFormat="1" applyFont="1" applyFill="1" applyBorder="1"/>
    <xf numFmtId="0" fontId="2" fillId="2" borderId="30" xfId="0" applyFont="1" applyFill="1" applyBorder="1"/>
    <xf numFmtId="0" fontId="2" fillId="2" borderId="31" xfId="0" applyFont="1" applyFill="1" applyBorder="1"/>
    <xf numFmtId="3" fontId="0" fillId="2" borderId="9" xfId="0" applyNumberFormat="1" applyFont="1" applyFill="1" applyBorder="1"/>
    <xf numFmtId="3" fontId="0" fillId="3" borderId="18" xfId="0" applyNumberFormat="1" applyFont="1" applyFill="1" applyBorder="1"/>
    <xf numFmtId="0" fontId="6" fillId="2" borderId="33" xfId="0" applyFont="1" applyFill="1" applyBorder="1"/>
    <xf numFmtId="3" fontId="0" fillId="2" borderId="20" xfId="0" applyNumberFormat="1" applyFont="1" applyFill="1" applyBorder="1"/>
    <xf numFmtId="0" fontId="2" fillId="2" borderId="44" xfId="0" applyFont="1" applyFill="1" applyBorder="1"/>
    <xf numFmtId="0" fontId="2" fillId="2" borderId="45" xfId="0" applyFont="1" applyFill="1" applyBorder="1"/>
    <xf numFmtId="0" fontId="2" fillId="2" borderId="17" xfId="0" applyFont="1" applyFill="1" applyBorder="1"/>
    <xf numFmtId="0" fontId="2" fillId="4" borderId="14" xfId="0" applyFont="1" applyFill="1" applyBorder="1" applyAlignment="1">
      <alignment horizontal="center"/>
    </xf>
    <xf numFmtId="3" fontId="2" fillId="4" borderId="14" xfId="0" applyNumberFormat="1" applyFont="1" applyFill="1" applyBorder="1" applyAlignment="1">
      <alignment horizontal="center"/>
    </xf>
    <xf numFmtId="3" fontId="2" fillId="4" borderId="15" xfId="0" applyNumberFormat="1" applyFont="1" applyFill="1" applyBorder="1" applyAlignment="1">
      <alignment horizontal="center"/>
    </xf>
    <xf numFmtId="0" fontId="2" fillId="2" borderId="9" xfId="0" applyFont="1" applyFill="1" applyBorder="1"/>
    <xf numFmtId="3" fontId="2" fillId="3" borderId="18" xfId="0" applyNumberFormat="1" applyFont="1" applyFill="1" applyBorder="1"/>
    <xf numFmtId="0" fontId="6" fillId="2" borderId="0" xfId="0" applyFont="1" applyFill="1"/>
    <xf numFmtId="0" fontId="6" fillId="0" borderId="0" xfId="0" applyFont="1"/>
    <xf numFmtId="0" fontId="6" fillId="2" borderId="0" xfId="0" applyFont="1" applyFill="1" applyAlignment="1">
      <alignment vertical="top" wrapText="1"/>
    </xf>
    <xf numFmtId="0" fontId="0" fillId="0" borderId="0" xfId="0" applyAlignment="1">
      <alignment horizontal="center"/>
    </xf>
    <xf numFmtId="3" fontId="0" fillId="2" borderId="0" xfId="0" applyNumberFormat="1" applyFill="1"/>
    <xf numFmtId="172" fontId="0" fillId="2" borderId="0" xfId="0" applyNumberFormat="1" applyFill="1"/>
    <xf numFmtId="4" fontId="0" fillId="2" borderId="0" xfId="0" applyNumberFormat="1" applyFill="1"/>
    <xf numFmtId="0" fontId="2" fillId="2" borderId="0" xfId="0" applyFont="1" applyFill="1" applyBorder="1" applyAlignment="1">
      <alignment horizontal="center"/>
    </xf>
    <xf numFmtId="0" fontId="0" fillId="2" borderId="4" xfId="0" applyFill="1" applyBorder="1"/>
    <xf numFmtId="0" fontId="0" fillId="2" borderId="21" xfId="0" applyFill="1" applyBorder="1" applyAlignment="1">
      <alignment vertical="top"/>
    </xf>
    <xf numFmtId="0" fontId="0" fillId="9" borderId="0" xfId="0" applyFont="1" applyFill="1"/>
    <xf numFmtId="0" fontId="0" fillId="2" borderId="0" xfId="0" applyFont="1" applyFill="1" applyBorder="1" applyAlignment="1" applyProtection="1">
      <alignment horizontal="left" vertical="top"/>
      <protection locked="0"/>
    </xf>
    <xf numFmtId="0" fontId="0" fillId="2" borderId="48" xfId="0" applyFill="1" applyBorder="1" applyAlignment="1">
      <alignment vertical="top"/>
    </xf>
    <xf numFmtId="0" fontId="2" fillId="2" borderId="51" xfId="0" applyFont="1" applyFill="1" applyBorder="1" applyAlignment="1">
      <alignment vertical="top"/>
    </xf>
    <xf numFmtId="0" fontId="0" fillId="2" borderId="52" xfId="0" applyFont="1" applyFill="1" applyBorder="1" applyAlignment="1">
      <alignment horizontal="center" vertical="top" wrapText="1"/>
    </xf>
    <xf numFmtId="0" fontId="0" fillId="2" borderId="53" xfId="0" applyFont="1" applyFill="1" applyBorder="1" applyAlignment="1">
      <alignment horizontal="center" vertical="top" wrapText="1"/>
    </xf>
    <xf numFmtId="0" fontId="0" fillId="2" borderId="48" xfId="0" applyNumberFormat="1" applyFont="1" applyFill="1" applyBorder="1" applyAlignment="1" applyProtection="1">
      <alignment vertical="top"/>
      <protection locked="0"/>
    </xf>
    <xf numFmtId="0" fontId="0" fillId="3" borderId="48" xfId="0" applyFill="1" applyBorder="1" applyAlignment="1">
      <alignment vertical="top"/>
    </xf>
    <xf numFmtId="0" fontId="0" fillId="2" borderId="55" xfId="0" applyNumberFormat="1" applyFont="1" applyFill="1" applyBorder="1" applyAlignment="1" applyProtection="1">
      <alignment vertical="top"/>
      <protection locked="0"/>
    </xf>
    <xf numFmtId="0" fontId="0" fillId="2" borderId="56" xfId="0" applyNumberFormat="1" applyFont="1" applyFill="1" applyBorder="1" applyAlignment="1" applyProtection="1">
      <alignment vertical="top"/>
      <protection locked="0"/>
    </xf>
    <xf numFmtId="0" fontId="2" fillId="3" borderId="57" xfId="0" applyFont="1" applyFill="1" applyBorder="1" applyAlignment="1">
      <alignment vertical="top"/>
    </xf>
    <xf numFmtId="0" fontId="0" fillId="2" borderId="58" xfId="0" applyFill="1" applyBorder="1" applyAlignment="1">
      <alignment vertical="top"/>
    </xf>
    <xf numFmtId="0" fontId="0" fillId="2" borderId="57" xfId="0" applyFont="1" applyFill="1" applyBorder="1" applyAlignment="1">
      <alignment vertical="top" wrapText="1"/>
    </xf>
    <xf numFmtId="0" fontId="2" fillId="3" borderId="57" xfId="0" applyFont="1" applyFill="1" applyBorder="1" applyAlignment="1">
      <alignment vertical="top" wrapText="1"/>
    </xf>
    <xf numFmtId="0" fontId="0" fillId="2" borderId="57" xfId="0" applyNumberFormat="1" applyFont="1" applyFill="1" applyBorder="1" applyAlignment="1" applyProtection="1">
      <alignment vertical="top"/>
      <protection locked="0"/>
    </xf>
    <xf numFmtId="0" fontId="0" fillId="2" borderId="58" xfId="0" applyNumberFormat="1" applyFont="1" applyFill="1" applyBorder="1" applyAlignment="1" applyProtection="1">
      <alignment vertical="top"/>
      <protection locked="0"/>
    </xf>
    <xf numFmtId="0" fontId="0" fillId="2" borderId="60" xfId="0" applyNumberFormat="1" applyFont="1" applyFill="1" applyBorder="1" applyAlignment="1" applyProtection="1">
      <alignment vertical="top"/>
      <protection locked="0"/>
    </xf>
    <xf numFmtId="0" fontId="0" fillId="2" borderId="61" xfId="0" applyNumberFormat="1" applyFont="1" applyFill="1" applyBorder="1" applyAlignment="1" applyProtection="1">
      <alignment vertical="top"/>
      <protection locked="0"/>
    </xf>
    <xf numFmtId="0" fontId="0" fillId="2" borderId="59" xfId="0" applyNumberFormat="1" applyFont="1" applyFill="1" applyBorder="1" applyAlignment="1" applyProtection="1">
      <alignment horizontal="left" vertical="center"/>
      <protection locked="0"/>
    </xf>
    <xf numFmtId="0" fontId="0" fillId="2" borderId="57" xfId="0" applyNumberFormat="1" applyFont="1" applyFill="1" applyBorder="1" applyAlignment="1" applyProtection="1">
      <alignment horizontal="left" vertical="center"/>
      <protection locked="0"/>
    </xf>
    <xf numFmtId="0" fontId="2" fillId="2" borderId="54" xfId="0" applyNumberFormat="1" applyFont="1" applyFill="1" applyBorder="1" applyAlignment="1" applyProtection="1">
      <alignment vertical="center"/>
      <protection locked="0"/>
    </xf>
    <xf numFmtId="0" fontId="12" fillId="0" borderId="0" xfId="3" applyBorder="1"/>
    <xf numFmtId="0" fontId="13" fillId="0" borderId="0" xfId="3" applyFont="1" applyBorder="1"/>
    <xf numFmtId="9" fontId="13" fillId="0" borderId="0" xfId="3" applyNumberFormat="1" applyFont="1" applyBorder="1" applyAlignment="1">
      <alignment horizontal="center"/>
    </xf>
    <xf numFmtId="10" fontId="13" fillId="0" borderId="0" xfId="3" applyNumberFormat="1" applyFont="1" applyBorder="1" applyAlignment="1">
      <alignment horizontal="center"/>
    </xf>
    <xf numFmtId="10" fontId="13" fillId="0" borderId="0" xfId="4" applyNumberFormat="1" applyFont="1" applyFill="1" applyBorder="1" applyAlignment="1" applyProtection="1">
      <alignment horizontal="center"/>
    </xf>
    <xf numFmtId="10" fontId="12" fillId="0" borderId="0" xfId="3" applyNumberFormat="1" applyBorder="1" applyAlignment="1">
      <alignment horizontal="center"/>
    </xf>
    <xf numFmtId="0" fontId="12" fillId="0" borderId="0" xfId="3" applyBorder="1" applyAlignment="1">
      <alignment horizontal="center"/>
    </xf>
    <xf numFmtId="0" fontId="13" fillId="0" borderId="0" xfId="3" applyFont="1" applyBorder="1" applyAlignment="1">
      <alignment horizontal="center"/>
    </xf>
    <xf numFmtId="10" fontId="12" fillId="0" borderId="0" xfId="3" applyNumberFormat="1" applyBorder="1"/>
    <xf numFmtId="9" fontId="12" fillId="0" borderId="0" xfId="3" applyNumberFormat="1" applyBorder="1"/>
    <xf numFmtId="175" fontId="12" fillId="0" borderId="0" xfId="5" applyNumberFormat="1" applyFont="1" applyFill="1" applyBorder="1" applyAlignment="1" applyProtection="1"/>
    <xf numFmtId="175" fontId="12" fillId="0" borderId="0" xfId="5" applyNumberFormat="1" applyFont="1" applyFill="1" applyBorder="1" applyAlignment="1" applyProtection="1">
      <alignment horizontal="center"/>
    </xf>
    <xf numFmtId="175" fontId="13" fillId="0" borderId="0" xfId="5" applyNumberFormat="1" applyFont="1" applyFill="1" applyBorder="1" applyAlignment="1" applyProtection="1">
      <alignment horizontal="center"/>
    </xf>
    <xf numFmtId="0" fontId="12" fillId="12" borderId="0" xfId="3" applyFill="1" applyBorder="1"/>
    <xf numFmtId="10" fontId="12" fillId="12" borderId="0" xfId="4" applyNumberFormat="1" applyFont="1" applyFill="1" applyBorder="1" applyAlignment="1" applyProtection="1">
      <alignment horizontal="center"/>
    </xf>
    <xf numFmtId="10" fontId="13" fillId="12" borderId="0" xfId="4" applyNumberFormat="1" applyFont="1" applyFill="1" applyBorder="1" applyAlignment="1" applyProtection="1">
      <alignment horizontal="center"/>
    </xf>
    <xf numFmtId="10" fontId="12" fillId="12" borderId="0" xfId="3" applyNumberFormat="1" applyFill="1" applyBorder="1" applyAlignment="1">
      <alignment horizontal="center"/>
    </xf>
    <xf numFmtId="173" fontId="12" fillId="12" borderId="0" xfId="3" applyNumberFormat="1" applyFill="1" applyBorder="1" applyAlignment="1">
      <alignment horizontal="center"/>
    </xf>
    <xf numFmtId="0" fontId="14" fillId="13" borderId="0" xfId="3" applyFont="1" applyFill="1" applyBorder="1"/>
    <xf numFmtId="10" fontId="15" fillId="13" borderId="0" xfId="4" applyNumberFormat="1" applyFont="1" applyFill="1" applyBorder="1" applyAlignment="1" applyProtection="1">
      <alignment horizontal="center"/>
    </xf>
    <xf numFmtId="10" fontId="15" fillId="13" borderId="0" xfId="3" applyNumberFormat="1" applyFont="1" applyFill="1" applyBorder="1" applyAlignment="1">
      <alignment horizontal="center"/>
    </xf>
    <xf numFmtId="10" fontId="12" fillId="11" borderId="0" xfId="4" applyNumberFormat="1" applyFont="1" applyFill="1" applyBorder="1" applyAlignment="1" applyProtection="1">
      <alignment horizontal="center"/>
    </xf>
    <xf numFmtId="10" fontId="13" fillId="11" borderId="0" xfId="4" applyNumberFormat="1" applyFont="1" applyFill="1" applyBorder="1" applyAlignment="1" applyProtection="1">
      <alignment horizontal="center"/>
    </xf>
    <xf numFmtId="0" fontId="12" fillId="11" borderId="0" xfId="3" applyFill="1" applyBorder="1"/>
    <xf numFmtId="0" fontId="12" fillId="0" borderId="0" xfId="3" applyBorder="1" applyAlignment="1">
      <alignment wrapText="1"/>
    </xf>
    <xf numFmtId="177" fontId="12" fillId="0" borderId="0" xfId="2" applyNumberFormat="1" applyFont="1" applyBorder="1"/>
    <xf numFmtId="0" fontId="16" fillId="13" borderId="0" xfId="3" applyFont="1" applyFill="1" applyBorder="1" applyAlignment="1">
      <alignment horizontal="center"/>
    </xf>
    <xf numFmtId="0" fontId="10" fillId="0" borderId="0" xfId="7" applyFont="1"/>
    <xf numFmtId="0" fontId="18" fillId="0" borderId="0" xfId="7"/>
    <xf numFmtId="0" fontId="2" fillId="15" borderId="46" xfId="7" applyFont="1" applyFill="1" applyBorder="1"/>
    <xf numFmtId="0" fontId="2" fillId="0" borderId="0" xfId="7" applyFont="1"/>
    <xf numFmtId="0" fontId="2" fillId="0" borderId="0" xfId="7" applyFont="1" applyAlignment="1">
      <alignment horizontal="center"/>
    </xf>
    <xf numFmtId="3" fontId="18" fillId="0" borderId="0" xfId="7" applyNumberFormat="1"/>
    <xf numFmtId="0" fontId="18" fillId="11" borderId="48" xfId="7" applyFill="1" applyBorder="1"/>
    <xf numFmtId="0" fontId="18" fillId="0" borderId="0" xfId="7" applyAlignment="1">
      <alignment horizontal="center"/>
    </xf>
    <xf numFmtId="3" fontId="2" fillId="0" borderId="0" xfId="7" applyNumberFormat="1" applyFont="1"/>
    <xf numFmtId="9" fontId="2" fillId="0" borderId="0" xfId="7" applyNumberFormat="1" applyFont="1"/>
    <xf numFmtId="9" fontId="18" fillId="0" borderId="0" xfId="7" applyNumberFormat="1"/>
    <xf numFmtId="0" fontId="19" fillId="0" borderId="0" xfId="7" applyFont="1"/>
    <xf numFmtId="0" fontId="18" fillId="0" borderId="0" xfId="7" applyAlignment="1">
      <alignment vertical="center"/>
    </xf>
    <xf numFmtId="0" fontId="2" fillId="0" borderId="0" xfId="7" applyFont="1" applyAlignment="1">
      <alignment vertical="center"/>
    </xf>
    <xf numFmtId="4" fontId="18" fillId="0" borderId="0" xfId="7" applyNumberFormat="1"/>
    <xf numFmtId="0" fontId="21" fillId="0" borderId="0" xfId="7" applyFont="1" applyBorder="1" applyAlignment="1">
      <alignment horizontal="center" vertical="top" wrapText="1"/>
    </xf>
    <xf numFmtId="0" fontId="18" fillId="0" borderId="88" xfId="7" applyBorder="1" applyAlignment="1">
      <alignment horizontal="center"/>
    </xf>
    <xf numFmtId="0" fontId="18" fillId="0" borderId="88" xfId="7" applyBorder="1" applyAlignment="1">
      <alignment horizontal="center"/>
    </xf>
    <xf numFmtId="10" fontId="2" fillId="0" borderId="0" xfId="7" applyNumberFormat="1" applyFont="1"/>
    <xf numFmtId="0" fontId="18" fillId="0" borderId="90" xfId="7" applyBorder="1" applyAlignment="1">
      <alignment horizontal="center" wrapText="1"/>
    </xf>
    <xf numFmtId="0" fontId="18" fillId="0" borderId="86" xfId="7" applyBorder="1" applyAlignment="1">
      <alignment horizontal="center" wrapText="1"/>
    </xf>
    <xf numFmtId="2" fontId="18" fillId="0" borderId="0" xfId="7" applyNumberFormat="1"/>
    <xf numFmtId="10" fontId="2" fillId="11" borderId="0" xfId="7" applyNumberFormat="1" applyFont="1" applyFill="1"/>
    <xf numFmtId="0" fontId="18" fillId="0" borderId="48" xfId="7" applyBorder="1" applyAlignment="1">
      <alignment horizontal="center" wrapText="1"/>
    </xf>
    <xf numFmtId="0" fontId="18" fillId="0" borderId="48" xfId="7" applyBorder="1" applyAlignment="1">
      <alignment horizontal="center" wrapText="1"/>
    </xf>
    <xf numFmtId="10" fontId="18" fillId="0" borderId="0" xfId="7" applyNumberFormat="1"/>
    <xf numFmtId="0" fontId="18" fillId="11" borderId="0" xfId="7" applyFill="1"/>
    <xf numFmtId="0" fontId="18" fillId="0" borderId="83" xfId="7" applyBorder="1" applyAlignment="1">
      <alignment horizontal="center" wrapText="1"/>
    </xf>
    <xf numFmtId="0" fontId="18" fillId="0" borderId="83" xfId="7" applyBorder="1" applyAlignment="1">
      <alignment horizontal="center" wrapText="1"/>
    </xf>
    <xf numFmtId="0" fontId="18" fillId="0" borderId="88" xfId="7" applyFill="1" applyBorder="1" applyAlignment="1">
      <alignment horizontal="center"/>
    </xf>
    <xf numFmtId="0" fontId="18" fillId="0" borderId="88" xfId="7" applyFill="1" applyBorder="1" applyAlignment="1">
      <alignment horizontal="center"/>
    </xf>
    <xf numFmtId="0" fontId="18" fillId="0" borderId="86" xfId="7" applyBorder="1" applyAlignment="1">
      <alignment horizontal="center"/>
    </xf>
    <xf numFmtId="0" fontId="18" fillId="0" borderId="86" xfId="7" applyBorder="1" applyAlignment="1">
      <alignment horizontal="center"/>
    </xf>
    <xf numFmtId="0" fontId="18" fillId="0" borderId="48" xfId="7" applyBorder="1" applyAlignment="1">
      <alignment horizontal="center"/>
    </xf>
    <xf numFmtId="0" fontId="18" fillId="0" borderId="48" xfId="7" applyBorder="1" applyAlignment="1">
      <alignment horizontal="center"/>
    </xf>
    <xf numFmtId="171" fontId="6" fillId="25" borderId="84" xfId="7" applyNumberFormat="1" applyFont="1" applyFill="1" applyBorder="1"/>
    <xf numFmtId="0" fontId="18" fillId="0" borderId="0" xfId="7" applyBorder="1"/>
    <xf numFmtId="0" fontId="18" fillId="23" borderId="48" xfId="7" applyFill="1" applyBorder="1"/>
    <xf numFmtId="0" fontId="18" fillId="26" borderId="48" xfId="7" applyFill="1" applyBorder="1"/>
    <xf numFmtId="0" fontId="6" fillId="25" borderId="84" xfId="7" applyFont="1" applyFill="1" applyBorder="1"/>
    <xf numFmtId="178" fontId="18" fillId="11" borderId="48" xfId="7" applyNumberFormat="1" applyFill="1" applyBorder="1"/>
    <xf numFmtId="2" fontId="18" fillId="0" borderId="93" xfId="7" applyNumberFormat="1" applyBorder="1"/>
    <xf numFmtId="0" fontId="18" fillId="0" borderId="84" xfId="7" applyBorder="1"/>
    <xf numFmtId="0" fontId="18" fillId="0" borderId="47" xfId="7" applyBorder="1"/>
    <xf numFmtId="1" fontId="18" fillId="0" borderId="0" xfId="7" applyNumberFormat="1"/>
    <xf numFmtId="0" fontId="6" fillId="0" borderId="84" xfId="7" applyFont="1" applyBorder="1"/>
    <xf numFmtId="0" fontId="11" fillId="0" borderId="47" xfId="7" applyFont="1" applyBorder="1"/>
    <xf numFmtId="0" fontId="6" fillId="0" borderId="0" xfId="7" applyFont="1"/>
    <xf numFmtId="2" fontId="6" fillId="0" borderId="84" xfId="7" applyNumberFormat="1" applyFont="1" applyBorder="1"/>
    <xf numFmtId="0" fontId="6" fillId="0" borderId="47" xfId="7" applyFont="1" applyBorder="1"/>
    <xf numFmtId="2" fontId="6" fillId="0" borderId="94" xfId="7" applyNumberFormat="1" applyFont="1" applyBorder="1"/>
    <xf numFmtId="2" fontId="6" fillId="0" borderId="95" xfId="7" applyNumberFormat="1" applyFont="1" applyBorder="1"/>
    <xf numFmtId="171" fontId="6" fillId="0" borderId="94" xfId="7" applyNumberFormat="1" applyFont="1" applyBorder="1"/>
    <xf numFmtId="2" fontId="6" fillId="0" borderId="96" xfId="7" applyNumberFormat="1" applyFont="1" applyBorder="1"/>
    <xf numFmtId="171" fontId="6" fillId="0" borderId="84" xfId="7" applyNumberFormat="1" applyFont="1" applyBorder="1"/>
    <xf numFmtId="2" fontId="6" fillId="0" borderId="47" xfId="7" applyNumberFormat="1" applyFont="1" applyBorder="1"/>
    <xf numFmtId="0" fontId="11" fillId="0" borderId="96" xfId="7" applyFont="1" applyBorder="1" applyAlignment="1">
      <alignment horizontal="left"/>
    </xf>
    <xf numFmtId="0" fontId="11" fillId="0" borderId="95" xfId="7" applyFont="1" applyBorder="1" applyAlignment="1">
      <alignment horizontal="left"/>
    </xf>
    <xf numFmtId="0" fontId="11" fillId="0" borderId="96" xfId="7" applyFont="1" applyBorder="1" applyAlignment="1">
      <alignment horizontal="left"/>
    </xf>
    <xf numFmtId="0" fontId="11" fillId="0" borderId="95" xfId="7" applyFont="1" applyBorder="1" applyAlignment="1">
      <alignment horizontal="left"/>
    </xf>
    <xf numFmtId="2" fontId="2" fillId="0" borderId="0" xfId="8" applyNumberFormat="1" applyFont="1" applyFill="1" applyBorder="1"/>
    <xf numFmtId="2" fontId="22" fillId="0" borderId="60" xfId="7" applyNumberFormat="1" applyFont="1" applyBorder="1" applyAlignment="1">
      <alignment horizontal="center" vertical="center"/>
    </xf>
    <xf numFmtId="2" fontId="23" fillId="0" borderId="59" xfId="7" applyNumberFormat="1" applyFont="1" applyBorder="1" applyAlignment="1">
      <alignment horizontal="center" vertical="center"/>
    </xf>
    <xf numFmtId="2" fontId="23" fillId="0" borderId="60" xfId="7" applyNumberFormat="1" applyFont="1" applyBorder="1" applyAlignment="1">
      <alignment horizontal="center" vertical="center"/>
    </xf>
    <xf numFmtId="2" fontId="23" fillId="0" borderId="57" xfId="7" applyNumberFormat="1" applyFont="1" applyBorder="1" applyAlignment="1">
      <alignment horizontal="center" vertical="center"/>
    </xf>
    <xf numFmtId="2" fontId="22" fillId="0" borderId="61" xfId="7" applyNumberFormat="1" applyFont="1" applyBorder="1" applyAlignment="1">
      <alignment horizontal="center" vertical="center"/>
    </xf>
    <xf numFmtId="2" fontId="23" fillId="0" borderId="59" xfId="7" applyNumberFormat="1" applyFont="1" applyBorder="1" applyAlignment="1">
      <alignment horizontal="center"/>
    </xf>
    <xf numFmtId="2" fontId="24" fillId="0" borderId="86" xfId="7" applyNumberFormat="1" applyFont="1" applyBorder="1" applyAlignment="1">
      <alignment horizontal="center" vertical="center"/>
    </xf>
    <xf numFmtId="2" fontId="23" fillId="0" borderId="99" xfId="7" applyNumberFormat="1" applyFont="1" applyBorder="1" applyAlignment="1">
      <alignment horizontal="center" vertical="center"/>
    </xf>
    <xf numFmtId="2" fontId="23" fillId="0" borderId="86" xfId="7" applyNumberFormat="1" applyFont="1" applyBorder="1" applyAlignment="1">
      <alignment horizontal="center" vertical="center"/>
    </xf>
    <xf numFmtId="2" fontId="24" fillId="0" borderId="100" xfId="7" applyNumberFormat="1" applyFont="1" applyBorder="1" applyAlignment="1">
      <alignment horizontal="center" vertical="center"/>
    </xf>
    <xf numFmtId="2" fontId="23" fillId="0" borderId="57" xfId="7" applyNumberFormat="1" applyFont="1" applyBorder="1" applyAlignment="1">
      <alignment horizontal="center"/>
    </xf>
    <xf numFmtId="2" fontId="25" fillId="0" borderId="48" xfId="7" applyNumberFormat="1" applyFont="1" applyBorder="1" applyAlignment="1">
      <alignment horizontal="center"/>
    </xf>
    <xf numFmtId="2" fontId="25" fillId="0" borderId="58" xfId="7" applyNumberFormat="1" applyFont="1" applyBorder="1" applyAlignment="1">
      <alignment horizontal="center"/>
    </xf>
    <xf numFmtId="0" fontId="26" fillId="0" borderId="55" xfId="7" applyFont="1" applyBorder="1" applyAlignment="1">
      <alignment horizontal="center"/>
    </xf>
    <xf numFmtId="2" fontId="23" fillId="0" borderId="51" xfId="7" applyNumberFormat="1" applyFont="1" applyBorder="1" applyAlignment="1">
      <alignment horizontal="center" vertical="center"/>
    </xf>
    <xf numFmtId="2" fontId="23" fillId="0" borderId="52" xfId="7" applyNumberFormat="1" applyFont="1" applyBorder="1" applyAlignment="1">
      <alignment horizontal="center" vertical="center"/>
    </xf>
    <xf numFmtId="2" fontId="26" fillId="0" borderId="55" xfId="7" applyNumberFormat="1" applyFont="1" applyBorder="1" applyAlignment="1">
      <alignment horizontal="center"/>
    </xf>
    <xf numFmtId="2" fontId="23" fillId="0" borderId="54" xfId="7" applyNumberFormat="1" applyFont="1" applyBorder="1" applyAlignment="1">
      <alignment horizontal="center" vertical="center"/>
    </xf>
    <xf numFmtId="2" fontId="26" fillId="0" borderId="56" xfId="7" applyNumberFormat="1" applyFont="1" applyBorder="1" applyAlignment="1">
      <alignment horizontal="center"/>
    </xf>
    <xf numFmtId="2" fontId="23" fillId="0" borderId="54" xfId="7" applyNumberFormat="1" applyFont="1" applyBorder="1" applyAlignment="1">
      <alignment horizontal="center"/>
    </xf>
    <xf numFmtId="9" fontId="6" fillId="0" borderId="0" xfId="7" applyNumberFormat="1" applyFont="1"/>
    <xf numFmtId="171" fontId="27" fillId="25" borderId="60" xfId="7" applyNumberFormat="1" applyFont="1" applyFill="1" applyBorder="1" applyAlignment="1">
      <alignment horizontal="center"/>
    </xf>
    <xf numFmtId="0" fontId="27" fillId="25" borderId="59" xfId="7" applyFont="1" applyFill="1" applyBorder="1" applyAlignment="1">
      <alignment horizontal="center" vertical="top" wrapText="1"/>
    </xf>
    <xf numFmtId="9" fontId="27" fillId="25" borderId="61" xfId="7" applyNumberFormat="1" applyFont="1" applyFill="1" applyBorder="1" applyAlignment="1">
      <alignment horizontal="center"/>
    </xf>
    <xf numFmtId="171" fontId="27" fillId="25" borderId="48" xfId="7" applyNumberFormat="1" applyFont="1" applyFill="1" applyBorder="1" applyAlignment="1">
      <alignment horizontal="center"/>
    </xf>
    <xf numFmtId="0" fontId="27" fillId="25" borderId="57" xfId="7" applyFont="1" applyFill="1" applyBorder="1" applyAlignment="1">
      <alignment horizontal="center" vertical="top" wrapText="1"/>
    </xf>
    <xf numFmtId="9" fontId="27" fillId="25" borderId="58" xfId="7" applyNumberFormat="1" applyFont="1" applyFill="1" applyBorder="1" applyAlignment="1">
      <alignment horizontal="center"/>
    </xf>
    <xf numFmtId="10" fontId="27" fillId="25" borderId="58" xfId="7" applyNumberFormat="1" applyFont="1" applyFill="1" applyBorder="1" applyAlignment="1">
      <alignment horizontal="center"/>
    </xf>
    <xf numFmtId="1" fontId="6" fillId="6" borderId="115" xfId="7" applyNumberFormat="1" applyFont="1" applyFill="1" applyBorder="1" applyAlignment="1">
      <alignment horizontal="center"/>
    </xf>
    <xf numFmtId="9" fontId="6" fillId="14" borderId="115" xfId="9" applyFont="1" applyFill="1" applyBorder="1" applyAlignment="1">
      <alignment horizontal="center"/>
    </xf>
    <xf numFmtId="1" fontId="6" fillId="6" borderId="116" xfId="7" applyNumberFormat="1" applyFont="1" applyFill="1" applyBorder="1" applyAlignment="1">
      <alignment horizontal="center"/>
    </xf>
    <xf numFmtId="171" fontId="27" fillId="25" borderId="56" xfId="7" applyNumberFormat="1" applyFont="1" applyFill="1" applyBorder="1" applyAlignment="1">
      <alignment horizontal="center" vertical="center"/>
    </xf>
    <xf numFmtId="171" fontId="27" fillId="25" borderId="55" xfId="7" applyNumberFormat="1" applyFont="1" applyFill="1" applyBorder="1" applyAlignment="1">
      <alignment horizontal="center"/>
    </xf>
    <xf numFmtId="0" fontId="27" fillId="25" borderId="54" xfId="7" applyFont="1" applyFill="1" applyBorder="1" applyAlignment="1">
      <alignment horizontal="center" vertical="top" wrapText="1"/>
    </xf>
    <xf numFmtId="9" fontId="27" fillId="25" borderId="56" xfId="7" applyNumberFormat="1" applyFont="1" applyFill="1" applyBorder="1" applyAlignment="1">
      <alignment horizontal="center"/>
    </xf>
    <xf numFmtId="0" fontId="11" fillId="25" borderId="54" xfId="7" applyFont="1" applyFill="1" applyBorder="1" applyAlignment="1">
      <alignment horizontal="left" vertical="center"/>
    </xf>
    <xf numFmtId="0" fontId="11" fillId="0" borderId="0" xfId="7" applyFont="1" applyFill="1" applyBorder="1"/>
    <xf numFmtId="0" fontId="6" fillId="25" borderId="84" xfId="7" applyFont="1" applyFill="1" applyBorder="1"/>
    <xf numFmtId="0" fontId="18" fillId="0" borderId="84" xfId="7" applyBorder="1"/>
    <xf numFmtId="0" fontId="6" fillId="25" borderId="96" xfId="7" applyFont="1" applyFill="1" applyBorder="1"/>
    <xf numFmtId="0" fontId="18" fillId="0" borderId="48" xfId="7" applyNumberFormat="1" applyBorder="1" applyAlignment="1">
      <alignment wrapText="1"/>
    </xf>
    <xf numFmtId="0" fontId="11" fillId="25" borderId="95" xfId="7" applyFont="1" applyFill="1" applyBorder="1"/>
    <xf numFmtId="0" fontId="6" fillId="0" borderId="0" xfId="7" applyFont="1" applyFill="1"/>
    <xf numFmtId="3" fontId="11" fillId="25" borderId="96" xfId="7" applyNumberFormat="1" applyFont="1" applyFill="1" applyBorder="1"/>
    <xf numFmtId="0" fontId="18" fillId="7" borderId="0" xfId="7" applyFill="1"/>
    <xf numFmtId="180" fontId="11" fillId="7" borderId="46" xfId="7" applyNumberFormat="1" applyFont="1" applyFill="1" applyBorder="1"/>
    <xf numFmtId="180" fontId="11" fillId="18" borderId="46" xfId="7" applyNumberFormat="1" applyFont="1" applyFill="1" applyBorder="1" applyAlignment="1">
      <alignment horizontal="center"/>
    </xf>
    <xf numFmtId="0" fontId="2" fillId="18" borderId="46" xfId="7" applyFont="1" applyFill="1" applyBorder="1" applyAlignment="1">
      <alignment horizontal="center"/>
    </xf>
    <xf numFmtId="0" fontId="18" fillId="0" borderId="48" xfId="7" applyBorder="1"/>
    <xf numFmtId="10" fontId="18" fillId="0" borderId="48" xfId="7" applyNumberFormat="1" applyBorder="1"/>
    <xf numFmtId="0" fontId="17" fillId="0" borderId="0" xfId="7" applyFont="1"/>
    <xf numFmtId="0" fontId="28" fillId="11" borderId="0" xfId="7" applyFont="1" applyFill="1"/>
    <xf numFmtId="9" fontId="17" fillId="0" borderId="0" xfId="7" applyNumberFormat="1" applyFont="1"/>
    <xf numFmtId="3" fontId="17" fillId="0" borderId="0" xfId="7" applyNumberFormat="1" applyFont="1"/>
    <xf numFmtId="3" fontId="28" fillId="29" borderId="0" xfId="7" applyNumberFormat="1" applyFont="1" applyFill="1"/>
    <xf numFmtId="0" fontId="17" fillId="15" borderId="0" xfId="7" applyFont="1" applyFill="1" applyAlignment="1">
      <alignment horizontal="center"/>
    </xf>
    <xf numFmtId="0" fontId="17" fillId="0" borderId="0" xfId="7" applyFont="1" applyAlignment="1">
      <alignment horizontal="center"/>
    </xf>
    <xf numFmtId="0" fontId="17" fillId="15" borderId="0" xfId="7" applyFont="1" applyFill="1" applyAlignment="1">
      <alignment horizontal="right"/>
    </xf>
    <xf numFmtId="0" fontId="18" fillId="0" borderId="49" xfId="7" applyBorder="1"/>
    <xf numFmtId="0" fontId="18" fillId="0" borderId="0" xfId="7" applyFill="1"/>
    <xf numFmtId="0" fontId="11" fillId="6" borderId="46" xfId="7" applyFont="1" applyFill="1" applyBorder="1"/>
    <xf numFmtId="179" fontId="11" fillId="20" borderId="46" xfId="7" applyNumberFormat="1" applyFont="1" applyFill="1" applyBorder="1"/>
    <xf numFmtId="9" fontId="6" fillId="0" borderId="0" xfId="7" applyNumberFormat="1" applyFont="1" applyFill="1" applyAlignment="1">
      <alignment horizontal="center"/>
    </xf>
    <xf numFmtId="0" fontId="6" fillId="0" borderId="0" xfId="7" applyFont="1" applyFill="1" applyAlignment="1">
      <alignment horizontal="center"/>
    </xf>
    <xf numFmtId="180" fontId="11" fillId="21" borderId="46" xfId="7" applyNumberFormat="1" applyFont="1" applyFill="1" applyBorder="1"/>
    <xf numFmtId="0" fontId="10" fillId="30" borderId="0" xfId="7" applyFont="1" applyFill="1"/>
    <xf numFmtId="0" fontId="31" fillId="0" borderId="0" xfId="7" applyFont="1"/>
    <xf numFmtId="3" fontId="18" fillId="7" borderId="0" xfId="7" applyNumberFormat="1" applyFill="1"/>
    <xf numFmtId="0" fontId="18" fillId="0" borderId="121" xfId="7" applyBorder="1" applyAlignment="1">
      <alignment vertical="center"/>
    </xf>
    <xf numFmtId="0" fontId="18" fillId="0" borderId="122" xfId="7" applyBorder="1" applyAlignment="1">
      <alignment vertical="center"/>
    </xf>
    <xf numFmtId="0" fontId="18" fillId="0" borderId="128" xfId="7" applyBorder="1" applyAlignment="1">
      <alignment vertical="center"/>
    </xf>
    <xf numFmtId="0" fontId="18" fillId="0" borderId="124" xfId="7" applyBorder="1" applyAlignment="1">
      <alignment vertical="center"/>
    </xf>
    <xf numFmtId="0" fontId="18" fillId="0" borderId="48" xfId="7" applyBorder="1" applyAlignment="1">
      <alignment vertical="center"/>
    </xf>
    <xf numFmtId="0" fontId="18" fillId="0" borderId="49" xfId="7" applyBorder="1" applyAlignment="1">
      <alignment vertical="center"/>
    </xf>
    <xf numFmtId="0" fontId="2" fillId="0" borderId="125" xfId="7" applyFont="1" applyBorder="1" applyAlignment="1">
      <alignment vertical="center"/>
    </xf>
    <xf numFmtId="0" fontId="18" fillId="0" borderId="124" xfId="7" applyBorder="1"/>
    <xf numFmtId="0" fontId="18" fillId="0" borderId="126" xfId="7" applyBorder="1"/>
    <xf numFmtId="0" fontId="18" fillId="0" borderId="132" xfId="7" applyBorder="1"/>
    <xf numFmtId="0" fontId="18" fillId="0" borderId="132" xfId="7" applyBorder="1" applyAlignment="1">
      <alignment vertical="center"/>
    </xf>
    <xf numFmtId="0" fontId="18" fillId="0" borderId="133" xfId="7" applyBorder="1"/>
    <xf numFmtId="0" fontId="29" fillId="0" borderId="117" xfId="7" applyFont="1" applyBorder="1" applyAlignment="1">
      <alignment horizontal="center" vertical="top" wrapText="1"/>
    </xf>
    <xf numFmtId="0" fontId="29" fillId="0" borderId="110" xfId="7" applyFont="1" applyBorder="1" applyAlignment="1">
      <alignment vertical="top" wrapText="1"/>
    </xf>
    <xf numFmtId="10" fontId="19" fillId="7" borderId="128" xfId="7" applyNumberFormat="1" applyFont="1" applyFill="1" applyBorder="1" applyAlignment="1">
      <alignment horizontal="center"/>
    </xf>
    <xf numFmtId="0" fontId="29" fillId="0" borderId="118" xfId="7" applyFont="1" applyBorder="1" applyAlignment="1">
      <alignment horizontal="center" vertical="top" wrapText="1"/>
    </xf>
    <xf numFmtId="10" fontId="2" fillId="0" borderId="81" xfId="7" applyNumberFormat="1" applyFont="1" applyBorder="1" applyAlignment="1">
      <alignment horizontal="center"/>
    </xf>
    <xf numFmtId="0" fontId="18" fillId="0" borderId="86" xfId="7" applyBorder="1"/>
    <xf numFmtId="0" fontId="18" fillId="0" borderId="136" xfId="7" applyBorder="1"/>
    <xf numFmtId="10" fontId="2" fillId="0" borderId="49" xfId="7" applyNumberFormat="1" applyFont="1" applyBorder="1" applyAlignment="1">
      <alignment horizontal="center"/>
    </xf>
    <xf numFmtId="0" fontId="18" fillId="0" borderId="125" xfId="7" applyBorder="1"/>
    <xf numFmtId="10" fontId="18" fillId="0" borderId="49" xfId="7" applyNumberFormat="1" applyBorder="1" applyAlignment="1">
      <alignment horizontal="center"/>
    </xf>
    <xf numFmtId="0" fontId="18" fillId="0" borderId="49" xfId="7" applyBorder="1" applyAlignment="1">
      <alignment horizontal="center"/>
    </xf>
    <xf numFmtId="4" fontId="18" fillId="0" borderId="48" xfId="7" applyNumberFormat="1" applyBorder="1" applyAlignment="1">
      <alignment horizontal="center"/>
    </xf>
    <xf numFmtId="10" fontId="18" fillId="17" borderId="48" xfId="7" applyNumberFormat="1" applyFill="1" applyBorder="1" applyAlignment="1">
      <alignment horizontal="center"/>
    </xf>
    <xf numFmtId="9" fontId="18" fillId="0" borderId="48" xfId="7" applyNumberFormat="1" applyBorder="1" applyAlignment="1">
      <alignment horizontal="center"/>
    </xf>
    <xf numFmtId="10" fontId="18" fillId="0" borderId="48" xfId="7" applyNumberFormat="1" applyBorder="1" applyAlignment="1">
      <alignment horizontal="center"/>
    </xf>
    <xf numFmtId="10" fontId="2" fillId="0" borderId="48" xfId="7" applyNumberFormat="1" applyFont="1" applyBorder="1" applyAlignment="1">
      <alignment horizontal="center"/>
    </xf>
    <xf numFmtId="0" fontId="2" fillId="0" borderId="125" xfId="7" applyFont="1" applyBorder="1"/>
    <xf numFmtId="10" fontId="18" fillId="0" borderId="132" xfId="7" applyNumberFormat="1" applyBorder="1"/>
    <xf numFmtId="9" fontId="32" fillId="27" borderId="0" xfId="7" applyNumberFormat="1" applyFont="1" applyFill="1" applyBorder="1" applyAlignment="1">
      <alignment horizontal="right" wrapText="1"/>
    </xf>
    <xf numFmtId="0" fontId="32" fillId="27" borderId="119" xfId="7" applyFont="1" applyFill="1" applyBorder="1" applyAlignment="1">
      <alignment wrapText="1"/>
    </xf>
    <xf numFmtId="0" fontId="33" fillId="0" borderId="112" xfId="7" applyFont="1" applyBorder="1" applyAlignment="1">
      <alignment horizontal="center" wrapText="1"/>
    </xf>
    <xf numFmtId="0" fontId="33" fillId="0" borderId="112" xfId="7" applyFont="1" applyBorder="1" applyAlignment="1">
      <alignment wrapText="1"/>
    </xf>
    <xf numFmtId="9" fontId="32" fillId="27" borderId="118" xfId="7" applyNumberFormat="1" applyFont="1" applyFill="1" applyBorder="1" applyAlignment="1">
      <alignment horizontal="right" wrapText="1"/>
    </xf>
    <xf numFmtId="0" fontId="32" fillId="27" borderId="117" xfId="7" applyFont="1" applyFill="1" applyBorder="1" applyAlignment="1">
      <alignment wrapText="1"/>
    </xf>
    <xf numFmtId="0" fontId="32" fillId="28" borderId="118" xfId="7" applyFont="1" applyFill="1" applyBorder="1" applyAlignment="1">
      <alignment wrapText="1"/>
    </xf>
    <xf numFmtId="0" fontId="32" fillId="28" borderId="117" xfId="7" applyFont="1" applyFill="1" applyBorder="1" applyAlignment="1">
      <alignment wrapText="1"/>
    </xf>
    <xf numFmtId="0" fontId="33" fillId="0" borderId="137" xfId="7" applyFont="1" applyBorder="1" applyAlignment="1">
      <alignment horizontal="center" wrapText="1"/>
    </xf>
    <xf numFmtId="0" fontId="33" fillId="0" borderId="138" xfId="7" applyFont="1" applyBorder="1" applyAlignment="1">
      <alignment wrapText="1"/>
    </xf>
    <xf numFmtId="0" fontId="33" fillId="0" borderId="139" xfId="7" applyFont="1" applyBorder="1" applyAlignment="1">
      <alignment horizontal="center" wrapText="1"/>
    </xf>
    <xf numFmtId="0" fontId="33" fillId="0" borderId="110" xfId="7" applyFont="1" applyBorder="1" applyAlignment="1">
      <alignment wrapText="1"/>
    </xf>
    <xf numFmtId="0" fontId="33" fillId="0" borderId="138" xfId="7" applyFont="1" applyBorder="1" applyAlignment="1">
      <alignment horizontal="center" wrapText="1"/>
    </xf>
    <xf numFmtId="0" fontId="34" fillId="14" borderId="85" xfId="7" applyFont="1" applyFill="1" applyBorder="1" applyAlignment="1">
      <alignment horizontal="center" wrapText="1"/>
    </xf>
    <xf numFmtId="0" fontId="34" fillId="14" borderId="47" xfId="7" applyFont="1" applyFill="1" applyBorder="1" applyAlignment="1">
      <alignment horizontal="center" wrapText="1"/>
    </xf>
    <xf numFmtId="0" fontId="34" fillId="14" borderId="84" xfId="7" applyFont="1" applyFill="1" applyBorder="1" applyAlignment="1">
      <alignment horizontal="center" wrapText="1"/>
    </xf>
    <xf numFmtId="0" fontId="34" fillId="14" borderId="62" xfId="7" applyFont="1" applyFill="1" applyBorder="1" applyAlignment="1">
      <alignment horizontal="center" wrapText="1"/>
    </xf>
    <xf numFmtId="0" fontId="2" fillId="0" borderId="0" xfId="7" applyFont="1" applyAlignment="1">
      <alignment vertical="center" wrapText="1"/>
    </xf>
    <xf numFmtId="0" fontId="30" fillId="25" borderId="84" xfId="7" applyFont="1" applyFill="1" applyBorder="1" applyAlignment="1">
      <alignment horizontal="center" vertical="top" wrapText="1"/>
    </xf>
    <xf numFmtId="0" fontId="30" fillId="25" borderId="62" xfId="7" applyFont="1" applyFill="1" applyBorder="1" applyAlignment="1">
      <alignment horizontal="center" vertical="top" wrapText="1"/>
    </xf>
    <xf numFmtId="1" fontId="2" fillId="19" borderId="66" xfId="7" applyNumberFormat="1" applyFont="1" applyFill="1" applyBorder="1" applyAlignment="1">
      <alignment horizontal="center" vertical="center"/>
    </xf>
    <xf numFmtId="2" fontId="2" fillId="19" borderId="66" xfId="7" applyNumberFormat="1" applyFont="1" applyFill="1" applyBorder="1" applyAlignment="1">
      <alignment horizontal="center" vertical="center"/>
    </xf>
    <xf numFmtId="1" fontId="2" fillId="19" borderId="46" xfId="7" applyNumberFormat="1" applyFont="1" applyFill="1" applyBorder="1" applyAlignment="1">
      <alignment horizontal="center" vertical="center"/>
    </xf>
    <xf numFmtId="2" fontId="2" fillId="19" borderId="46" xfId="7" applyNumberFormat="1" applyFont="1" applyFill="1" applyBorder="1" applyAlignment="1">
      <alignment horizontal="center" vertical="center"/>
    </xf>
    <xf numFmtId="1" fontId="2" fillId="19" borderId="71" xfId="7" applyNumberFormat="1" applyFont="1" applyFill="1" applyBorder="1" applyAlignment="1">
      <alignment horizontal="center" vertical="center"/>
    </xf>
    <xf numFmtId="2" fontId="2" fillId="19" borderId="71" xfId="7" applyNumberFormat="1" applyFont="1" applyFill="1" applyBorder="1" applyAlignment="1">
      <alignment horizontal="center" vertical="center"/>
    </xf>
    <xf numFmtId="184" fontId="11" fillId="19" borderId="46" xfId="7" applyNumberFormat="1" applyFont="1" applyFill="1" applyBorder="1"/>
    <xf numFmtId="180" fontId="11" fillId="19" borderId="46" xfId="7" applyNumberFormat="1" applyFont="1" applyFill="1" applyBorder="1"/>
    <xf numFmtId="10" fontId="18" fillId="7" borderId="0" xfId="7" applyNumberFormat="1" applyFill="1"/>
    <xf numFmtId="180" fontId="11" fillId="19" borderId="0" xfId="7" applyNumberFormat="1" applyFont="1" applyFill="1" applyBorder="1"/>
    <xf numFmtId="0" fontId="11" fillId="19" borderId="63" xfId="7" applyFont="1" applyFill="1" applyBorder="1" applyAlignment="1"/>
    <xf numFmtId="0" fontId="11" fillId="19" borderId="64" xfId="7" applyFont="1" applyFill="1" applyBorder="1" applyAlignment="1"/>
    <xf numFmtId="0" fontId="11" fillId="6" borderId="64" xfId="7" applyFont="1" applyFill="1" applyBorder="1" applyAlignment="1"/>
    <xf numFmtId="180" fontId="11" fillId="20" borderId="46" xfId="7" applyNumberFormat="1" applyFont="1" applyFill="1" applyBorder="1"/>
    <xf numFmtId="180" fontId="11" fillId="7" borderId="0" xfId="7" applyNumberFormat="1" applyFont="1" applyFill="1" applyBorder="1"/>
    <xf numFmtId="0" fontId="11" fillId="21" borderId="46" xfId="7" applyFont="1" applyFill="1" applyBorder="1"/>
    <xf numFmtId="0" fontId="11" fillId="7" borderId="46" xfId="7" applyFont="1" applyFill="1" applyBorder="1"/>
    <xf numFmtId="184" fontId="11" fillId="18" borderId="46" xfId="7" applyNumberFormat="1" applyFont="1" applyFill="1" applyBorder="1"/>
    <xf numFmtId="0" fontId="18" fillId="18" borderId="63" xfId="7" applyFill="1" applyBorder="1" applyAlignment="1">
      <alignment horizontal="center"/>
    </xf>
    <xf numFmtId="0" fontId="11" fillId="18" borderId="64" xfId="7" applyFont="1" applyFill="1" applyBorder="1" applyAlignment="1">
      <alignment horizontal="center"/>
    </xf>
    <xf numFmtId="0" fontId="2" fillId="18" borderId="0" xfId="7" applyFont="1" applyFill="1" applyBorder="1" applyAlignment="1">
      <alignment horizontal="center" vertical="center"/>
    </xf>
    <xf numFmtId="10" fontId="2" fillId="7" borderId="0" xfId="7" applyNumberFormat="1" applyFont="1" applyFill="1" applyBorder="1" applyAlignment="1">
      <alignment horizontal="center"/>
    </xf>
    <xf numFmtId="10" fontId="2" fillId="7" borderId="46" xfId="7" applyNumberFormat="1" applyFont="1" applyFill="1" applyBorder="1" applyAlignment="1">
      <alignment horizontal="center"/>
    </xf>
    <xf numFmtId="0" fontId="2" fillId="7" borderId="46" xfId="7" applyFont="1" applyFill="1" applyBorder="1" applyAlignment="1">
      <alignment horizontal="right"/>
    </xf>
    <xf numFmtId="43" fontId="18" fillId="0" borderId="0" xfId="7" applyNumberFormat="1"/>
    <xf numFmtId="10" fontId="2" fillId="7" borderId="65" xfId="7" applyNumberFormat="1" applyFont="1" applyFill="1" applyBorder="1" applyAlignment="1">
      <alignment horizontal="center"/>
    </xf>
    <xf numFmtId="182" fontId="0" fillId="0" borderId="0" xfId="11" applyFont="1"/>
    <xf numFmtId="10" fontId="2" fillId="22" borderId="83" xfId="7" applyNumberFormat="1" applyFont="1" applyFill="1" applyBorder="1" applyAlignment="1">
      <alignment horizontal="center"/>
    </xf>
    <xf numFmtId="0" fontId="2" fillId="22" borderId="64" xfId="7" applyFont="1" applyFill="1" applyBorder="1" applyAlignment="1">
      <alignment horizontal="right"/>
    </xf>
    <xf numFmtId="10" fontId="2" fillId="31" borderId="46" xfId="7" applyNumberFormat="1" applyFont="1" applyFill="1" applyBorder="1" applyAlignment="1">
      <alignment horizontal="center"/>
    </xf>
    <xf numFmtId="0" fontId="2" fillId="31" borderId="64" xfId="7" applyFont="1" applyFill="1" applyBorder="1" applyAlignment="1">
      <alignment horizontal="right"/>
    </xf>
    <xf numFmtId="180" fontId="11" fillId="18" borderId="46" xfId="7" applyNumberFormat="1" applyFont="1" applyFill="1" applyBorder="1"/>
    <xf numFmtId="3" fontId="11" fillId="20" borderId="46" xfId="7" applyNumberFormat="1" applyFont="1" applyFill="1" applyBorder="1"/>
    <xf numFmtId="4" fontId="11" fillId="20" borderId="46" xfId="7" applyNumberFormat="1" applyFont="1" applyFill="1" applyBorder="1" applyAlignment="1">
      <alignment horizontal="center"/>
    </xf>
    <xf numFmtId="4" fontId="11" fillId="18" borderId="69" xfId="7" applyNumberFormat="1" applyFont="1" applyFill="1" applyBorder="1" applyAlignment="1">
      <alignment horizontal="center" vertical="center"/>
    </xf>
    <xf numFmtId="0" fontId="20" fillId="16" borderId="46" xfId="7" applyFont="1" applyFill="1" applyBorder="1" applyAlignment="1">
      <alignment horizontal="center" vertical="center"/>
    </xf>
    <xf numFmtId="0" fontId="2" fillId="7" borderId="48" xfId="7" applyFont="1" applyFill="1" applyBorder="1" applyAlignment="1">
      <alignment vertical="center"/>
    </xf>
    <xf numFmtId="0" fontId="2" fillId="7" borderId="86" xfId="7" applyFont="1" applyFill="1" applyBorder="1" applyAlignment="1">
      <alignment vertical="center"/>
    </xf>
    <xf numFmtId="9" fontId="6" fillId="0" borderId="0" xfId="7" applyNumberFormat="1" applyFont="1" applyAlignment="1">
      <alignment horizontal="center"/>
    </xf>
    <xf numFmtId="0" fontId="6" fillId="0" borderId="0" xfId="7" applyFont="1" applyAlignment="1">
      <alignment horizontal="center"/>
    </xf>
    <xf numFmtId="9" fontId="10" fillId="0" borderId="0" xfId="1" applyBorder="1" applyAlignment="1">
      <alignment horizontal="center"/>
    </xf>
    <xf numFmtId="9" fontId="10" fillId="0" borderId="0" xfId="1" applyBorder="1"/>
    <xf numFmtId="9" fontId="2" fillId="0" borderId="46" xfId="7" applyNumberFormat="1" applyFont="1" applyFill="1" applyBorder="1" applyAlignment="1">
      <alignment horizontal="left" vertical="center"/>
    </xf>
    <xf numFmtId="170" fontId="10" fillId="0" borderId="46" xfId="1" applyNumberFormat="1" applyFill="1" applyBorder="1" applyAlignment="1">
      <alignment vertical="center"/>
    </xf>
    <xf numFmtId="3" fontId="2" fillId="0" borderId="46" xfId="7" applyNumberFormat="1" applyFont="1" applyFill="1" applyBorder="1" applyAlignment="1">
      <alignment vertical="center"/>
    </xf>
    <xf numFmtId="165" fontId="10" fillId="0" borderId="46" xfId="2" applyFont="1" applyFill="1" applyBorder="1" applyAlignment="1">
      <alignment vertical="center"/>
    </xf>
    <xf numFmtId="4" fontId="10" fillId="0" borderId="46" xfId="7" applyNumberFormat="1" applyFont="1" applyFill="1" applyBorder="1" applyAlignment="1">
      <alignment vertical="center"/>
    </xf>
    <xf numFmtId="3" fontId="10" fillId="0" borderId="46" xfId="7" applyNumberFormat="1" applyFont="1" applyFill="1" applyBorder="1" applyAlignment="1">
      <alignment vertical="center"/>
    </xf>
    <xf numFmtId="3" fontId="19" fillId="0" borderId="48" xfId="7" applyNumberFormat="1" applyFont="1" applyBorder="1" applyAlignment="1"/>
    <xf numFmtId="177" fontId="18" fillId="11" borderId="48" xfId="2" applyNumberFormat="1" applyFont="1" applyFill="1" applyBorder="1" applyAlignment="1">
      <alignment wrapText="1"/>
    </xf>
    <xf numFmtId="0" fontId="2" fillId="2" borderId="29" xfId="0" applyFont="1" applyFill="1" applyBorder="1" applyAlignment="1">
      <alignment vertical="top"/>
    </xf>
    <xf numFmtId="0" fontId="38" fillId="2" borderId="0" xfId="0" applyFont="1" applyFill="1" applyAlignment="1">
      <alignment horizontal="center" vertical="top" wrapText="1"/>
    </xf>
    <xf numFmtId="0" fontId="39" fillId="2" borderId="0" xfId="0" applyFont="1" applyFill="1" applyAlignment="1">
      <alignment vertical="top"/>
    </xf>
    <xf numFmtId="0" fontId="2" fillId="0" borderId="46" xfId="7" applyFont="1" applyFill="1" applyBorder="1"/>
    <xf numFmtId="0" fontId="2" fillId="15" borderId="46" xfId="7" applyFont="1" applyFill="1" applyBorder="1" applyAlignment="1">
      <alignment horizontal="center" wrapText="1"/>
    </xf>
    <xf numFmtId="0" fontId="2" fillId="15" borderId="46" xfId="7" applyFont="1" applyFill="1" applyBorder="1" applyAlignment="1">
      <alignment horizontal="center" vertical="center"/>
    </xf>
    <xf numFmtId="0" fontId="2" fillId="4" borderId="144" xfId="0" applyFont="1" applyFill="1" applyBorder="1" applyAlignment="1">
      <alignment vertical="top"/>
    </xf>
    <xf numFmtId="0" fontId="2" fillId="4" borderId="145" xfId="0" applyFont="1" applyFill="1" applyBorder="1" applyAlignment="1">
      <alignment vertical="top"/>
    </xf>
    <xf numFmtId="0" fontId="2" fillId="4" borderId="146" xfId="0" applyFont="1" applyFill="1" applyBorder="1" applyAlignment="1">
      <alignment vertical="top"/>
    </xf>
    <xf numFmtId="9" fontId="2" fillId="0" borderId="0" xfId="7" applyNumberFormat="1" applyFont="1" applyFill="1" applyBorder="1" applyAlignment="1">
      <alignment horizontal="left" vertical="center"/>
    </xf>
    <xf numFmtId="3" fontId="10" fillId="0" borderId="0" xfId="7" applyNumberFormat="1" applyFont="1" applyFill="1" applyBorder="1" applyAlignment="1">
      <alignment vertical="center"/>
    </xf>
    <xf numFmtId="10" fontId="10" fillId="3" borderId="10" xfId="1" applyNumberFormat="1" applyFill="1" applyBorder="1" applyAlignment="1">
      <alignment vertical="top"/>
    </xf>
    <xf numFmtId="173" fontId="0" fillId="2" borderId="0" xfId="0" applyNumberFormat="1" applyFont="1" applyFill="1" applyAlignment="1">
      <alignment vertical="top"/>
    </xf>
    <xf numFmtId="173" fontId="10" fillId="2" borderId="0" xfId="1" applyNumberFormat="1" applyFill="1" applyAlignment="1">
      <alignment vertical="top"/>
    </xf>
    <xf numFmtId="173" fontId="0" fillId="2" borderId="0" xfId="1" applyNumberFormat="1" applyFont="1" applyFill="1" applyBorder="1" applyAlignment="1" applyProtection="1">
      <alignment vertical="top"/>
    </xf>
    <xf numFmtId="173" fontId="2" fillId="2" borderId="10" xfId="1" applyNumberFormat="1" applyFont="1" applyFill="1" applyBorder="1" applyAlignment="1" applyProtection="1">
      <alignment vertical="top"/>
    </xf>
    <xf numFmtId="177" fontId="10" fillId="24" borderId="46" xfId="2" applyNumberFormat="1" applyFont="1" applyFill="1" applyBorder="1" applyAlignment="1">
      <alignment horizontal="right"/>
    </xf>
    <xf numFmtId="10" fontId="10" fillId="24" borderId="46" xfId="7" applyNumberFormat="1" applyFont="1" applyFill="1" applyBorder="1" applyAlignment="1">
      <alignment horizontal="center"/>
    </xf>
    <xf numFmtId="2" fontId="10" fillId="24" borderId="46" xfId="7" applyNumberFormat="1" applyFont="1" applyFill="1" applyBorder="1" applyAlignment="1">
      <alignment horizontal="center"/>
    </xf>
    <xf numFmtId="0" fontId="10" fillId="2" borderId="0" xfId="0" applyFont="1" applyFill="1" applyAlignment="1">
      <alignment vertical="top"/>
    </xf>
    <xf numFmtId="3" fontId="2" fillId="0" borderId="46" xfId="7" applyNumberFormat="1" applyFont="1" applyFill="1" applyBorder="1" applyAlignment="1">
      <alignment horizontal="center" vertical="center"/>
    </xf>
    <xf numFmtId="0" fontId="0" fillId="2" borderId="24" xfId="0" applyFill="1" applyBorder="1"/>
    <xf numFmtId="3" fontId="2" fillId="3" borderId="2" xfId="0" applyNumberFormat="1" applyFont="1" applyFill="1" applyBorder="1"/>
    <xf numFmtId="177" fontId="2" fillId="3" borderId="10" xfId="0" applyNumberFormat="1" applyFont="1" applyFill="1" applyBorder="1" applyAlignment="1">
      <alignment vertical="top"/>
    </xf>
    <xf numFmtId="2" fontId="2" fillId="24" borderId="46" xfId="0" applyNumberFormat="1" applyFont="1" applyFill="1" applyBorder="1" applyAlignment="1">
      <alignment horizontal="center"/>
    </xf>
    <xf numFmtId="10" fontId="2" fillId="24" borderId="46" xfId="0" applyNumberFormat="1" applyFont="1" applyFill="1" applyBorder="1" applyAlignment="1">
      <alignment horizontal="center"/>
    </xf>
    <xf numFmtId="0" fontId="2" fillId="4" borderId="151" xfId="0" applyFont="1" applyFill="1" applyBorder="1"/>
    <xf numFmtId="0" fontId="2" fillId="4" borderId="148" xfId="0" applyFont="1" applyFill="1" applyBorder="1" applyAlignment="1">
      <alignment horizontal="center" vertical="center"/>
    </xf>
    <xf numFmtId="0" fontId="2" fillId="4" borderId="149" xfId="0" applyFont="1" applyFill="1" applyBorder="1" applyAlignment="1">
      <alignment horizontal="center" vertical="center"/>
    </xf>
    <xf numFmtId="0" fontId="0" fillId="2" borderId="120" xfId="0" applyFill="1" applyBorder="1"/>
    <xf numFmtId="0" fontId="0" fillId="2" borderId="154" xfId="0" applyFill="1" applyBorder="1" applyAlignment="1"/>
    <xf numFmtId="0" fontId="0" fillId="2" borderId="105" xfId="0" applyFill="1" applyBorder="1"/>
    <xf numFmtId="0" fontId="0" fillId="2" borderId="150" xfId="0" applyFill="1" applyBorder="1"/>
    <xf numFmtId="0" fontId="0" fillId="2" borderId="155" xfId="0" applyFill="1" applyBorder="1" applyAlignment="1"/>
    <xf numFmtId="0" fontId="2" fillId="2" borderId="29" xfId="0" applyFont="1" applyFill="1" applyBorder="1" applyAlignment="1">
      <alignment horizontal="justify" vertical="top" wrapText="1"/>
    </xf>
    <xf numFmtId="0" fontId="2" fillId="2" borderId="10" xfId="0" applyFont="1" applyFill="1" applyBorder="1" applyAlignment="1">
      <alignment horizontal="justify" vertical="top" wrapText="1"/>
    </xf>
    <xf numFmtId="0" fontId="2" fillId="2" borderId="28" xfId="0" applyFont="1" applyFill="1" applyBorder="1" applyAlignment="1">
      <alignment horizontal="justify" vertical="top" wrapText="1"/>
    </xf>
    <xf numFmtId="0" fontId="42" fillId="0" borderId="0" xfId="7" applyFont="1" applyAlignment="1">
      <alignment horizontal="center" vertical="center"/>
    </xf>
    <xf numFmtId="0" fontId="43" fillId="0" borderId="0" xfId="7" applyFont="1" applyAlignment="1">
      <alignment horizontal="center" vertical="center"/>
    </xf>
    <xf numFmtId="0" fontId="11" fillId="18" borderId="0" xfId="7" applyFont="1" applyFill="1" applyBorder="1" applyAlignment="1">
      <alignment horizontal="center" vertical="center"/>
    </xf>
    <xf numFmtId="0" fontId="11" fillId="18" borderId="0" xfId="7" applyFont="1" applyFill="1" applyBorder="1" applyAlignment="1">
      <alignment horizontal="center"/>
    </xf>
    <xf numFmtId="0" fontId="11" fillId="18" borderId="0" xfId="7" applyFont="1" applyFill="1" applyBorder="1" applyAlignment="1">
      <alignment horizontal="center" wrapText="1"/>
    </xf>
    <xf numFmtId="0" fontId="2" fillId="4" borderId="10" xfId="0" applyFont="1" applyFill="1" applyBorder="1" applyAlignment="1">
      <alignment vertical="top"/>
    </xf>
    <xf numFmtId="0" fontId="2" fillId="4" borderId="28" xfId="0" applyFont="1" applyFill="1" applyBorder="1" applyAlignment="1">
      <alignment vertical="top"/>
    </xf>
    <xf numFmtId="0" fontId="2" fillId="9" borderId="31" xfId="0" applyFont="1" applyFill="1" applyBorder="1" applyAlignment="1">
      <alignment horizontal="justify" vertical="top"/>
    </xf>
    <xf numFmtId="0" fontId="2" fillId="9" borderId="30" xfId="0" applyFont="1" applyFill="1" applyBorder="1" applyAlignment="1">
      <alignment horizontal="justify" vertical="top"/>
    </xf>
    <xf numFmtId="3" fontId="2" fillId="3" borderId="13" xfId="0" applyNumberFormat="1" applyFont="1" applyFill="1" applyBorder="1" applyAlignment="1">
      <alignment vertical="top"/>
    </xf>
    <xf numFmtId="1" fontId="2" fillId="0" borderId="14" xfId="0" applyNumberFormat="1" applyFont="1" applyFill="1" applyBorder="1" applyAlignment="1">
      <alignment vertical="top"/>
    </xf>
    <xf numFmtId="1" fontId="2" fillId="3" borderId="14" xfId="0" applyNumberFormat="1" applyFont="1" applyFill="1" applyBorder="1" applyAlignment="1">
      <alignment vertical="top"/>
    </xf>
    <xf numFmtId="2" fontId="2" fillId="3" borderId="14" xfId="0" applyNumberFormat="1" applyFont="1" applyFill="1" applyBorder="1" applyAlignment="1">
      <alignment vertical="top"/>
    </xf>
    <xf numFmtId="4" fontId="2" fillId="3" borderId="14" xfId="0" applyNumberFormat="1" applyFont="1" applyFill="1" applyBorder="1" applyAlignment="1">
      <alignment vertical="top"/>
    </xf>
    <xf numFmtId="1" fontId="2" fillId="3" borderId="8" xfId="0" applyNumberFormat="1" applyFont="1" applyFill="1" applyBorder="1" applyAlignment="1">
      <alignment vertical="top"/>
    </xf>
    <xf numFmtId="1" fontId="2" fillId="3" borderId="7" xfId="0" applyNumberFormat="1" applyFont="1" applyFill="1" applyBorder="1" applyAlignment="1">
      <alignment vertical="top"/>
    </xf>
    <xf numFmtId="0" fontId="2" fillId="3" borderId="14" xfId="0" applyFont="1" applyFill="1" applyBorder="1" applyAlignment="1">
      <alignment vertical="top"/>
    </xf>
    <xf numFmtId="3" fontId="2" fillId="3" borderId="15" xfId="0" applyNumberFormat="1" applyFont="1" applyFill="1" applyBorder="1" applyAlignment="1">
      <alignment vertical="top"/>
    </xf>
    <xf numFmtId="1" fontId="2" fillId="3" borderId="13" xfId="0" applyNumberFormat="1" applyFont="1" applyFill="1" applyBorder="1" applyAlignment="1">
      <alignment vertical="top"/>
    </xf>
    <xf numFmtId="3" fontId="2" fillId="3" borderId="8" xfId="0" applyNumberFormat="1" applyFont="1" applyFill="1" applyBorder="1" applyAlignment="1">
      <alignment vertical="top"/>
    </xf>
    <xf numFmtId="0" fontId="2" fillId="2" borderId="26" xfId="0" applyFont="1" applyFill="1" applyBorder="1" applyAlignment="1">
      <alignment vertical="top"/>
    </xf>
    <xf numFmtId="0" fontId="0" fillId="9" borderId="0" xfId="0" applyFill="1"/>
    <xf numFmtId="0" fontId="2" fillId="2" borderId="10" xfId="0" applyFont="1" applyFill="1" applyBorder="1" applyAlignment="1">
      <alignment horizontal="left" vertical="top" wrapText="1"/>
    </xf>
    <xf numFmtId="0" fontId="2" fillId="2" borderId="28" xfId="0" applyFont="1" applyFill="1" applyBorder="1" applyAlignment="1">
      <alignment horizontal="left" vertical="top" wrapText="1"/>
    </xf>
    <xf numFmtId="49" fontId="40" fillId="9" borderId="6" xfId="0" applyNumberFormat="1" applyFont="1" applyFill="1" applyBorder="1" applyAlignment="1">
      <alignment horizontal="justify" vertical="top" wrapText="1"/>
    </xf>
    <xf numFmtId="3" fontId="40" fillId="2" borderId="6" xfId="0" applyNumberFormat="1" applyFont="1" applyFill="1" applyBorder="1" applyAlignment="1">
      <alignment horizontal="right" vertical="top" wrapText="1"/>
    </xf>
    <xf numFmtId="10" fontId="40" fillId="2" borderId="6" xfId="1" applyNumberFormat="1" applyFont="1" applyFill="1" applyBorder="1" applyAlignment="1">
      <alignment horizontal="right" vertical="top" wrapText="1"/>
    </xf>
    <xf numFmtId="9" fontId="40" fillId="9" borderId="6" xfId="1" applyFont="1" applyFill="1" applyBorder="1" applyAlignment="1" applyProtection="1">
      <alignment horizontal="center" vertical="top" wrapText="1"/>
    </xf>
    <xf numFmtId="3" fontId="40" fillId="3" borderId="6" xfId="0" applyNumberFormat="1" applyFont="1" applyFill="1" applyBorder="1" applyAlignment="1">
      <alignment horizontal="right" vertical="top" wrapText="1"/>
    </xf>
    <xf numFmtId="3" fontId="40" fillId="2" borderId="23" xfId="0" applyNumberFormat="1" applyFont="1" applyFill="1" applyBorder="1" applyAlignment="1">
      <alignment horizontal="right" vertical="top" wrapText="1"/>
    </xf>
    <xf numFmtId="3" fontId="40" fillId="3" borderId="23" xfId="0" applyNumberFormat="1" applyFont="1" applyFill="1" applyBorder="1" applyAlignment="1">
      <alignment horizontal="right" vertical="top" wrapText="1"/>
    </xf>
    <xf numFmtId="3" fontId="40" fillId="3" borderId="24" xfId="0" applyNumberFormat="1" applyFont="1" applyFill="1" applyBorder="1" applyAlignment="1">
      <alignment horizontal="right" vertical="top" wrapText="1"/>
    </xf>
    <xf numFmtId="3" fontId="40" fillId="3" borderId="24" xfId="0" applyNumberFormat="1" applyFont="1" applyFill="1" applyBorder="1" applyAlignment="1">
      <alignment vertical="top" wrapText="1"/>
    </xf>
    <xf numFmtId="3" fontId="40" fillId="3" borderId="23" xfId="0" applyNumberFormat="1" applyFont="1" applyFill="1" applyBorder="1" applyAlignment="1">
      <alignment vertical="top" wrapText="1"/>
    </xf>
    <xf numFmtId="0" fontId="40" fillId="2" borderId="0" xfId="0" applyFont="1" applyFill="1" applyAlignment="1">
      <alignment vertical="top"/>
    </xf>
    <xf numFmtId="0" fontId="41" fillId="2" borderId="0" xfId="0" applyFont="1" applyFill="1" applyAlignment="1">
      <alignment horizontal="center" vertical="top"/>
    </xf>
    <xf numFmtId="0" fontId="40" fillId="3" borderId="25" xfId="0" applyFont="1" applyFill="1" applyBorder="1" applyAlignment="1">
      <alignment vertical="top"/>
    </xf>
    <xf numFmtId="185" fontId="40" fillId="2" borderId="6" xfId="0" applyNumberFormat="1" applyFont="1" applyFill="1" applyBorder="1" applyAlignment="1">
      <alignment horizontal="right" vertical="top" wrapText="1"/>
    </xf>
    <xf numFmtId="185" fontId="40" fillId="2" borderId="6" xfId="0" applyNumberFormat="1" applyFont="1" applyFill="1" applyBorder="1" applyAlignment="1">
      <alignment horizontal="center" vertical="top" wrapText="1"/>
    </xf>
    <xf numFmtId="171" fontId="40" fillId="3" borderId="6" xfId="0" applyNumberFormat="1" applyFont="1" applyFill="1" applyBorder="1" applyAlignment="1">
      <alignment horizontal="right" vertical="top" wrapText="1"/>
    </xf>
    <xf numFmtId="3" fontId="40" fillId="33" borderId="6" xfId="0" applyNumberFormat="1" applyFont="1" applyFill="1" applyBorder="1" applyAlignment="1">
      <alignment horizontal="right" vertical="top" wrapText="1"/>
    </xf>
    <xf numFmtId="3" fontId="40" fillId="34" borderId="6" xfId="0" applyNumberFormat="1" applyFont="1" applyFill="1" applyBorder="1" applyAlignment="1">
      <alignment horizontal="right" vertical="top" wrapText="1"/>
    </xf>
    <xf numFmtId="3" fontId="2" fillId="33" borderId="14" xfId="0" applyNumberFormat="1" applyFont="1" applyFill="1" applyBorder="1" applyAlignment="1">
      <alignment horizontal="right" vertical="top" wrapText="1"/>
    </xf>
    <xf numFmtId="3" fontId="2" fillId="34" borderId="14" xfId="0" applyNumberFormat="1" applyFont="1" applyFill="1" applyBorder="1" applyAlignment="1">
      <alignment vertical="top"/>
    </xf>
    <xf numFmtId="0" fontId="41" fillId="2" borderId="7" xfId="0" applyFont="1" applyFill="1" applyBorder="1" applyAlignment="1">
      <alignment horizontal="center" vertical="top" wrapText="1"/>
    </xf>
    <xf numFmtId="0" fontId="41" fillId="2" borderId="14" xfId="0" applyFont="1" applyFill="1" applyBorder="1" applyAlignment="1">
      <alignment horizontal="center" vertical="top" wrapText="1"/>
    </xf>
    <xf numFmtId="0" fontId="41" fillId="33" borderId="14" xfId="0" applyFont="1" applyFill="1" applyBorder="1" applyAlignment="1">
      <alignment horizontal="center" vertical="top" wrapText="1"/>
    </xf>
    <xf numFmtId="0" fontId="41" fillId="2" borderId="8" xfId="0" applyFont="1" applyFill="1" applyBorder="1" applyAlignment="1">
      <alignment horizontal="center" vertical="top" wrapText="1"/>
    </xf>
    <xf numFmtId="0" fontId="41" fillId="2" borderId="15" xfId="0" applyFont="1" applyFill="1" applyBorder="1" applyAlignment="1">
      <alignment horizontal="center" vertical="top" wrapText="1"/>
    </xf>
    <xf numFmtId="0" fontId="41" fillId="2" borderId="15" xfId="0" applyFont="1" applyFill="1" applyBorder="1" applyAlignment="1">
      <alignment horizontal="center" vertical="top"/>
    </xf>
    <xf numFmtId="0" fontId="41" fillId="2" borderId="13" xfId="0" applyFont="1" applyFill="1" applyBorder="1" applyAlignment="1">
      <alignment horizontal="center" vertical="top" wrapText="1"/>
    </xf>
    <xf numFmtId="0" fontId="41" fillId="2" borderId="8" xfId="0" applyFont="1" applyFill="1" applyBorder="1" applyAlignment="1">
      <alignment horizontal="center" vertical="top"/>
    </xf>
    <xf numFmtId="0" fontId="41" fillId="2" borderId="12" xfId="0" applyFont="1" applyFill="1" applyBorder="1" applyAlignment="1">
      <alignment horizontal="center" vertical="top" wrapText="1"/>
    </xf>
    <xf numFmtId="3" fontId="40" fillId="2" borderId="6" xfId="0" applyNumberFormat="1" applyFont="1" applyFill="1" applyBorder="1" applyAlignment="1">
      <alignment horizontal="center" vertical="top" wrapText="1"/>
    </xf>
    <xf numFmtId="170" fontId="0" fillId="3" borderId="38" xfId="1" applyNumberFormat="1" applyFont="1" applyFill="1" applyBorder="1" applyAlignment="1" applyProtection="1">
      <alignment vertical="top"/>
    </xf>
    <xf numFmtId="170" fontId="0" fillId="0" borderId="0" xfId="1" applyNumberFormat="1" applyFont="1" applyFill="1" applyBorder="1" applyAlignment="1" applyProtection="1">
      <alignment vertical="top"/>
    </xf>
    <xf numFmtId="3" fontId="2" fillId="3" borderId="35" xfId="0" applyNumberFormat="1" applyFont="1" applyFill="1" applyBorder="1" applyAlignment="1">
      <alignment horizontal="center" vertical="top"/>
    </xf>
    <xf numFmtId="10" fontId="0" fillId="0" borderId="20" xfId="1" applyNumberFormat="1" applyFont="1" applyFill="1" applyBorder="1" applyAlignment="1" applyProtection="1">
      <alignment horizontal="center" vertical="top"/>
    </xf>
    <xf numFmtId="10" fontId="2" fillId="0" borderId="84" xfId="1" applyNumberFormat="1" applyFont="1" applyFill="1" applyBorder="1" applyAlignment="1" applyProtection="1">
      <alignment horizontal="center" vertical="top"/>
    </xf>
    <xf numFmtId="3" fontId="0" fillId="0" borderId="112" xfId="0" applyNumberFormat="1" applyFont="1" applyFill="1" applyBorder="1" applyAlignment="1">
      <alignment vertical="top"/>
    </xf>
    <xf numFmtId="3" fontId="2" fillId="10" borderId="62" xfId="0" applyNumberFormat="1" applyFont="1" applyFill="1" applyBorder="1"/>
    <xf numFmtId="0" fontId="2" fillId="3" borderId="47" xfId="0" applyFont="1" applyFill="1" applyBorder="1" applyAlignment="1">
      <alignment vertical="top"/>
    </xf>
    <xf numFmtId="0" fontId="0" fillId="3" borderId="85" xfId="0" applyFont="1" applyFill="1" applyBorder="1" applyAlignment="1">
      <alignment vertical="top"/>
    </xf>
    <xf numFmtId="3" fontId="2" fillId="3" borderId="62" xfId="0" applyNumberFormat="1" applyFont="1" applyFill="1" applyBorder="1" applyAlignment="1">
      <alignment vertical="top"/>
    </xf>
    <xf numFmtId="10" fontId="2" fillId="3" borderId="84" xfId="0" applyNumberFormat="1" applyFont="1" applyFill="1" applyBorder="1" applyAlignment="1">
      <alignment horizontal="center" vertical="top"/>
    </xf>
    <xf numFmtId="170" fontId="0" fillId="0" borderId="96" xfId="1" applyNumberFormat="1" applyFont="1" applyFill="1" applyBorder="1" applyAlignment="1" applyProtection="1">
      <alignment vertical="top"/>
    </xf>
    <xf numFmtId="3" fontId="0" fillId="0" borderId="138" xfId="0" applyNumberFormat="1" applyFont="1" applyFill="1" applyBorder="1" applyAlignment="1">
      <alignment vertical="top"/>
    </xf>
    <xf numFmtId="10" fontId="0" fillId="0" borderId="94" xfId="1" applyNumberFormat="1" applyFont="1" applyFill="1" applyBorder="1" applyAlignment="1" applyProtection="1">
      <alignment horizontal="center" vertical="top"/>
    </xf>
    <xf numFmtId="10" fontId="0" fillId="0" borderId="119" xfId="1" applyNumberFormat="1" applyFont="1" applyFill="1" applyBorder="1" applyAlignment="1" applyProtection="1">
      <alignment horizontal="center" vertical="top"/>
    </xf>
    <xf numFmtId="170" fontId="0" fillId="0" borderId="118" xfId="1" applyNumberFormat="1" applyFont="1" applyFill="1" applyBorder="1" applyAlignment="1" applyProtection="1">
      <alignment vertical="top"/>
    </xf>
    <xf numFmtId="3" fontId="0" fillId="0" borderId="110" xfId="0" applyNumberFormat="1" applyFont="1" applyFill="1" applyBorder="1" applyAlignment="1">
      <alignment vertical="top"/>
    </xf>
    <xf numFmtId="10" fontId="0" fillId="0" borderId="117" xfId="1" applyNumberFormat="1" applyFont="1" applyFill="1" applyBorder="1" applyAlignment="1" applyProtection="1">
      <alignment horizontal="center" vertical="top"/>
    </xf>
    <xf numFmtId="10" fontId="0" fillId="35" borderId="20" xfId="1" applyNumberFormat="1" applyFont="1" applyFill="1" applyBorder="1" applyAlignment="1" applyProtection="1">
      <alignment horizontal="center" vertical="top"/>
    </xf>
    <xf numFmtId="170" fontId="0" fillId="0" borderId="85" xfId="1" applyNumberFormat="1" applyFont="1" applyFill="1" applyBorder="1" applyAlignment="1" applyProtection="1">
      <alignment vertical="top"/>
    </xf>
    <xf numFmtId="3" fontId="0" fillId="0" borderId="62" xfId="0" applyNumberFormat="1" applyFont="1" applyFill="1" applyBorder="1" applyAlignment="1">
      <alignment vertical="top"/>
    </xf>
    <xf numFmtId="10" fontId="0" fillId="35" borderId="84" xfId="1" applyNumberFormat="1" applyFont="1" applyFill="1" applyBorder="1" applyAlignment="1" applyProtection="1">
      <alignment horizontal="center" vertical="top"/>
    </xf>
    <xf numFmtId="0" fontId="0" fillId="0" borderId="95" xfId="0" applyFont="1" applyFill="1" applyBorder="1" applyAlignment="1">
      <alignment horizontal="left" vertical="top" indent="1"/>
    </xf>
    <xf numFmtId="0" fontId="0" fillId="0" borderId="120" xfId="0" applyFill="1" applyBorder="1" applyAlignment="1">
      <alignment horizontal="left" vertical="top" indent="1"/>
    </xf>
    <xf numFmtId="0" fontId="0" fillId="0" borderId="105" xfId="0" applyFont="1" applyFill="1" applyBorder="1" applyAlignment="1">
      <alignment horizontal="left" vertical="top" indent="1"/>
    </xf>
    <xf numFmtId="0" fontId="0" fillId="0" borderId="33" xfId="0" applyFont="1" applyFill="1" applyBorder="1" applyAlignment="1">
      <alignment horizontal="left" vertical="top" indent="1"/>
    </xf>
    <xf numFmtId="0" fontId="0" fillId="0" borderId="33" xfId="0" applyFill="1" applyBorder="1" applyAlignment="1">
      <alignment horizontal="left" vertical="top" indent="1"/>
    </xf>
    <xf numFmtId="0" fontId="0" fillId="0" borderId="47" xfId="0" applyFill="1" applyBorder="1" applyAlignment="1">
      <alignment horizontal="left" vertical="top" indent="1"/>
    </xf>
    <xf numFmtId="3" fontId="2" fillId="3" borderId="156" xfId="0" applyNumberFormat="1" applyFont="1" applyFill="1" applyBorder="1" applyAlignment="1">
      <alignment horizontal="center" vertical="top"/>
    </xf>
    <xf numFmtId="3" fontId="2" fillId="8" borderId="62" xfId="0" applyNumberFormat="1" applyFont="1" applyFill="1" applyBorder="1"/>
    <xf numFmtId="165" fontId="0" fillId="2" borderId="0" xfId="2" applyFont="1" applyFill="1" applyAlignment="1">
      <alignment vertical="top"/>
    </xf>
    <xf numFmtId="165" fontId="41" fillId="2" borderId="0" xfId="2" applyFont="1" applyFill="1" applyBorder="1" applyAlignment="1">
      <alignment horizontal="center" vertical="top"/>
    </xf>
    <xf numFmtId="165" fontId="40" fillId="2" borderId="0" xfId="2" applyFont="1" applyFill="1" applyBorder="1" applyAlignment="1">
      <alignment vertical="top"/>
    </xf>
    <xf numFmtId="165" fontId="2" fillId="2" borderId="0" xfId="2" applyFont="1" applyFill="1" applyAlignment="1">
      <alignment vertical="top"/>
    </xf>
    <xf numFmtId="165" fontId="0" fillId="2" borderId="0" xfId="2" applyFont="1" applyFill="1" applyAlignment="1">
      <alignment horizontal="justify" vertical="top" wrapText="1"/>
    </xf>
    <xf numFmtId="165" fontId="7" fillId="2" borderId="0" xfId="2" applyFont="1" applyFill="1" applyAlignment="1">
      <alignment vertical="top" wrapText="1"/>
    </xf>
    <xf numFmtId="0" fontId="0" fillId="2" borderId="95" xfId="0" applyFill="1" applyBorder="1"/>
    <xf numFmtId="0" fontId="0" fillId="2" borderId="96" xfId="0" applyFill="1" applyBorder="1"/>
    <xf numFmtId="0" fontId="0" fillId="2" borderId="118" xfId="0" applyFill="1" applyBorder="1"/>
    <xf numFmtId="3" fontId="0" fillId="33" borderId="138" xfId="0" applyNumberFormat="1" applyFill="1" applyBorder="1"/>
    <xf numFmtId="9" fontId="10" fillId="2" borderId="0" xfId="1" applyFill="1" applyAlignment="1">
      <alignment vertical="top"/>
    </xf>
    <xf numFmtId="9" fontId="0" fillId="2" borderId="6" xfId="0" applyNumberFormat="1" applyFill="1" applyBorder="1" applyAlignment="1">
      <alignment vertical="top"/>
    </xf>
    <xf numFmtId="0" fontId="0" fillId="2" borderId="23" xfId="0" applyFill="1" applyBorder="1"/>
    <xf numFmtId="9" fontId="10" fillId="0" borderId="46" xfId="1" applyFill="1" applyBorder="1" applyAlignment="1">
      <alignment vertical="center"/>
    </xf>
    <xf numFmtId="9" fontId="10" fillId="0" borderId="46" xfId="2" applyNumberFormat="1" applyFill="1" applyBorder="1" applyAlignment="1">
      <alignment vertical="center"/>
    </xf>
    <xf numFmtId="0" fontId="44" fillId="2" borderId="21" xfId="0" applyFont="1" applyFill="1" applyBorder="1" applyAlignment="1">
      <alignment vertical="top"/>
    </xf>
    <xf numFmtId="3" fontId="44" fillId="2" borderId="6" xfId="0" applyNumberFormat="1" applyFont="1" applyFill="1" applyBorder="1" applyAlignment="1">
      <alignment vertical="top"/>
    </xf>
    <xf numFmtId="0" fontId="44" fillId="2" borderId="23" xfId="0" applyFont="1" applyFill="1" applyBorder="1" applyAlignment="1">
      <alignment vertical="top"/>
    </xf>
    <xf numFmtId="166" fontId="44" fillId="2" borderId="6" xfId="0" applyNumberFormat="1" applyFont="1" applyFill="1" applyBorder="1" applyAlignment="1" applyProtection="1">
      <protection locked="0"/>
    </xf>
    <xf numFmtId="0" fontId="44" fillId="2" borderId="20" xfId="0" applyFont="1" applyFill="1" applyBorder="1" applyAlignment="1">
      <alignment vertical="top"/>
    </xf>
    <xf numFmtId="0" fontId="44" fillId="2" borderId="0" xfId="0" applyFont="1" applyFill="1" applyAlignment="1">
      <alignment vertical="top"/>
    </xf>
    <xf numFmtId="0" fontId="2" fillId="4" borderId="47" xfId="0" applyFont="1" applyFill="1" applyBorder="1" applyAlignment="1">
      <alignment vertical="top"/>
    </xf>
    <xf numFmtId="0" fontId="2" fillId="4" borderId="84" xfId="0" applyFont="1" applyFill="1" applyBorder="1" applyAlignment="1">
      <alignment vertical="top"/>
    </xf>
    <xf numFmtId="0" fontId="2" fillId="2" borderId="0" xfId="0" applyFont="1" applyFill="1" applyAlignment="1">
      <alignment horizontal="left"/>
    </xf>
    <xf numFmtId="0" fontId="41" fillId="2" borderId="0" xfId="0" applyFont="1" applyFill="1" applyAlignment="1">
      <alignment horizontal="left"/>
    </xf>
    <xf numFmtId="186" fontId="0" fillId="0" borderId="0" xfId="2" applyNumberFormat="1" applyFont="1"/>
    <xf numFmtId="3" fontId="0" fillId="2" borderId="0" xfId="0" applyNumberFormat="1" applyFill="1" applyAlignment="1">
      <alignment vertical="top"/>
    </xf>
    <xf numFmtId="170" fontId="0" fillId="0" borderId="46" xfId="1" applyNumberFormat="1" applyFont="1" applyFill="1" applyBorder="1" applyAlignment="1">
      <alignment vertical="center"/>
    </xf>
    <xf numFmtId="0" fontId="0" fillId="24" borderId="0" xfId="0" applyFill="1"/>
    <xf numFmtId="0" fontId="45" fillId="0" borderId="157" xfId="0" applyFont="1" applyBorder="1" applyAlignment="1">
      <alignment horizontal="center" vertical="center" wrapText="1"/>
    </xf>
    <xf numFmtId="0" fontId="45" fillId="0" borderId="158" xfId="0" applyFont="1" applyBorder="1" applyAlignment="1">
      <alignment horizontal="center" vertical="center" wrapText="1"/>
    </xf>
    <xf numFmtId="0" fontId="45" fillId="36" borderId="0" xfId="0" applyFont="1" applyFill="1" applyAlignment="1">
      <alignment vertical="center" wrapText="1"/>
    </xf>
    <xf numFmtId="0" fontId="45" fillId="36" borderId="0" xfId="0" applyFont="1" applyFill="1" applyAlignment="1">
      <alignment horizontal="center" vertical="center" wrapText="1"/>
    </xf>
    <xf numFmtId="0" fontId="21" fillId="36" borderId="0" xfId="0" applyFont="1" applyFill="1" applyAlignment="1">
      <alignment horizontal="center" vertical="center" wrapText="1"/>
    </xf>
    <xf numFmtId="3" fontId="21" fillId="36" borderId="0" xfId="0" applyNumberFormat="1" applyFont="1" applyFill="1" applyAlignment="1">
      <alignment horizontal="center" vertical="center" wrapText="1"/>
    </xf>
    <xf numFmtId="0" fontId="45" fillId="0" borderId="0" xfId="0" applyFont="1" applyAlignment="1">
      <alignment vertical="center" wrapText="1"/>
    </xf>
    <xf numFmtId="0" fontId="45" fillId="0" borderId="0" xfId="0" applyFont="1" applyAlignment="1">
      <alignment horizontal="center" vertical="center" wrapText="1"/>
    </xf>
    <xf numFmtId="3" fontId="21" fillId="0" borderId="0" xfId="0" applyNumberFormat="1" applyFont="1" applyAlignment="1">
      <alignment horizontal="center" vertical="center" wrapText="1"/>
    </xf>
    <xf numFmtId="0" fontId="21" fillId="0" borderId="0" xfId="0" applyFont="1" applyAlignment="1">
      <alignment horizontal="center" vertical="center" wrapText="1"/>
    </xf>
    <xf numFmtId="0" fontId="45" fillId="36" borderId="158" xfId="0" applyFont="1" applyFill="1" applyBorder="1" applyAlignment="1">
      <alignment vertical="center" wrapText="1"/>
    </xf>
    <xf numFmtId="0" fontId="45" fillId="36" borderId="158" xfId="0" applyFont="1" applyFill="1" applyBorder="1" applyAlignment="1">
      <alignment horizontal="center" vertical="center" wrapText="1"/>
    </xf>
    <xf numFmtId="0" fontId="21" fillId="36" borderId="158" xfId="0" applyFont="1" applyFill="1" applyBorder="1" applyAlignment="1">
      <alignment horizontal="center" vertical="center" wrapText="1"/>
    </xf>
    <xf numFmtId="3" fontId="21" fillId="36" borderId="158" xfId="0" applyNumberFormat="1" applyFont="1" applyFill="1" applyBorder="1" applyAlignment="1">
      <alignment horizontal="center" vertical="center" wrapText="1"/>
    </xf>
    <xf numFmtId="0" fontId="21" fillId="0" borderId="0" xfId="0" applyFont="1" applyAlignment="1">
      <alignment horizontal="justify" vertical="center"/>
    </xf>
    <xf numFmtId="0" fontId="17" fillId="0" borderId="0" xfId="0" applyFont="1"/>
    <xf numFmtId="0" fontId="17" fillId="11" borderId="0" xfId="0" applyFont="1" applyFill="1"/>
    <xf numFmtId="0" fontId="0" fillId="11" borderId="0" xfId="0" applyFill="1"/>
    <xf numFmtId="0" fontId="5" fillId="2" borderId="54" xfId="0" applyFont="1" applyFill="1" applyBorder="1" applyAlignment="1">
      <alignment horizontal="center" vertical="center"/>
    </xf>
    <xf numFmtId="0" fontId="0" fillId="2" borderId="56" xfId="0" applyFill="1" applyBorder="1" applyAlignment="1" applyProtection="1">
      <alignment wrapText="1"/>
      <protection locked="0"/>
    </xf>
    <xf numFmtId="0" fontId="5" fillId="2" borderId="57" xfId="0" applyFont="1" applyFill="1" applyBorder="1" applyAlignment="1">
      <alignment horizontal="center" vertical="center"/>
    </xf>
    <xf numFmtId="0" fontId="21" fillId="0" borderId="58" xfId="0" applyFont="1" applyBorder="1" applyAlignment="1">
      <alignment horizontal="justify" vertical="center"/>
    </xf>
    <xf numFmtId="0" fontId="0" fillId="2" borderId="58" xfId="0" applyFont="1" applyFill="1" applyBorder="1" applyAlignment="1" applyProtection="1">
      <alignment wrapText="1"/>
      <protection locked="0"/>
    </xf>
    <xf numFmtId="0" fontId="5" fillId="2" borderId="59" xfId="0" applyFont="1" applyFill="1" applyBorder="1" applyAlignment="1">
      <alignment horizontal="center" vertical="center"/>
    </xf>
    <xf numFmtId="0" fontId="0" fillId="2" borderId="61" xfId="0" applyFont="1" applyFill="1" applyBorder="1" applyAlignment="1" applyProtection="1">
      <alignment wrapText="1"/>
      <protection locked="0"/>
    </xf>
    <xf numFmtId="0" fontId="1" fillId="24" borderId="58" xfId="0" applyFont="1" applyFill="1" applyBorder="1"/>
    <xf numFmtId="9" fontId="10" fillId="0" borderId="0" xfId="1"/>
    <xf numFmtId="9" fontId="0" fillId="0" borderId="0" xfId="0" applyNumberFormat="1"/>
    <xf numFmtId="3" fontId="10" fillId="11" borderId="46" xfId="7" applyNumberFormat="1" applyFont="1" applyFill="1" applyBorder="1" applyAlignment="1">
      <alignment vertical="center"/>
    </xf>
    <xf numFmtId="0" fontId="2" fillId="2" borderId="105" xfId="0" applyFont="1" applyFill="1" applyBorder="1"/>
    <xf numFmtId="3" fontId="2" fillId="2" borderId="110" xfId="0" applyNumberFormat="1" applyFont="1" applyFill="1" applyBorder="1"/>
    <xf numFmtId="10" fontId="0" fillId="0" borderId="0" xfId="0" applyNumberFormat="1"/>
    <xf numFmtId="165" fontId="0" fillId="2" borderId="6" xfId="2" applyFont="1" applyFill="1" applyBorder="1" applyAlignment="1">
      <alignment vertical="top"/>
    </xf>
    <xf numFmtId="177" fontId="0" fillId="2" borderId="0" xfId="2" applyNumberFormat="1" applyFont="1" applyFill="1"/>
    <xf numFmtId="0" fontId="0" fillId="2" borderId="0" xfId="0" applyFill="1" applyAlignment="1">
      <alignment horizontal="center"/>
    </xf>
    <xf numFmtId="177" fontId="0" fillId="2" borderId="0" xfId="2" applyNumberFormat="1" applyFont="1" applyFill="1" applyAlignment="1">
      <alignment horizontal="right"/>
    </xf>
    <xf numFmtId="0" fontId="2" fillId="2" borderId="47" xfId="0" applyFont="1" applyFill="1" applyBorder="1" applyAlignment="1">
      <alignment horizontal="left"/>
    </xf>
    <xf numFmtId="0" fontId="2" fillId="2" borderId="85" xfId="0" applyFont="1" applyFill="1" applyBorder="1" applyAlignment="1">
      <alignment horizontal="left"/>
    </xf>
    <xf numFmtId="186" fontId="0" fillId="0" borderId="0" xfId="2" applyNumberFormat="1" applyFont="1" applyAlignment="1">
      <alignment wrapText="1"/>
    </xf>
    <xf numFmtId="0" fontId="48" fillId="0" borderId="48" xfId="0" applyFont="1" applyBorder="1"/>
    <xf numFmtId="0" fontId="48" fillId="0" borderId="55" xfId="0" applyFont="1" applyBorder="1"/>
    <xf numFmtId="0" fontId="48" fillId="0" borderId="60" xfId="0" applyFont="1" applyBorder="1"/>
    <xf numFmtId="0" fontId="51" fillId="0" borderId="0" xfId="0" applyFont="1" applyBorder="1" applyAlignment="1">
      <alignment vertical="center"/>
    </xf>
    <xf numFmtId="0" fontId="51" fillId="2" borderId="0" xfId="0" applyFont="1" applyFill="1" applyAlignment="1">
      <alignment vertical="center"/>
    </xf>
    <xf numFmtId="0" fontId="51" fillId="2" borderId="0" xfId="0" applyFont="1" applyFill="1" applyAlignment="1">
      <alignment horizontal="center" vertical="center" wrapText="1"/>
    </xf>
    <xf numFmtId="0" fontId="51" fillId="0" borderId="83" xfId="7" applyFont="1" applyBorder="1" applyAlignment="1">
      <alignment vertical="center" wrapText="1"/>
    </xf>
    <xf numFmtId="0" fontId="51" fillId="24" borderId="83" xfId="7" applyFont="1" applyFill="1" applyBorder="1" applyAlignment="1">
      <alignment vertical="center" wrapText="1"/>
    </xf>
    <xf numFmtId="165" fontId="51" fillId="24" borderId="83" xfId="2" applyNumberFormat="1" applyFont="1" applyFill="1" applyBorder="1" applyAlignment="1">
      <alignment horizontal="center" vertical="center"/>
    </xf>
    <xf numFmtId="0" fontId="51" fillId="2" borderId="83" xfId="0" applyFont="1" applyFill="1" applyBorder="1" applyAlignment="1">
      <alignment horizontal="center" vertical="center"/>
    </xf>
    <xf numFmtId="177" fontId="51" fillId="2" borderId="83" xfId="2" applyNumberFormat="1" applyFont="1" applyFill="1" applyBorder="1" applyAlignment="1">
      <alignment vertical="center"/>
    </xf>
    <xf numFmtId="177" fontId="51" fillId="3" borderId="83" xfId="2" applyNumberFormat="1" applyFont="1" applyFill="1" applyBorder="1" applyAlignment="1">
      <alignment vertical="center"/>
    </xf>
    <xf numFmtId="0" fontId="51" fillId="0" borderId="83" xfId="7" applyFont="1" applyBorder="1" applyAlignment="1">
      <alignment vertical="center"/>
    </xf>
    <xf numFmtId="0" fontId="51" fillId="0" borderId="160" xfId="7" applyFont="1" applyBorder="1" applyAlignment="1">
      <alignment horizontal="center" vertical="center" wrapText="1"/>
    </xf>
    <xf numFmtId="0" fontId="51" fillId="0" borderId="0" xfId="7" applyFont="1" applyAlignment="1">
      <alignment vertical="center"/>
    </xf>
    <xf numFmtId="0" fontId="51" fillId="24" borderId="48" xfId="7" applyFont="1" applyFill="1" applyBorder="1" applyAlignment="1">
      <alignment vertical="center" wrapText="1"/>
    </xf>
    <xf numFmtId="0" fontId="51" fillId="24" borderId="48" xfId="2" applyNumberFormat="1" applyFont="1" applyFill="1" applyBorder="1" applyAlignment="1">
      <alignment horizontal="center" vertical="center"/>
    </xf>
    <xf numFmtId="165" fontId="51" fillId="24" borderId="48" xfId="2" applyNumberFormat="1" applyFont="1" applyFill="1" applyBorder="1" applyAlignment="1">
      <alignment horizontal="center" vertical="center"/>
    </xf>
    <xf numFmtId="0" fontId="51" fillId="2" borderId="48" xfId="0" applyFont="1" applyFill="1" applyBorder="1" applyAlignment="1">
      <alignment horizontal="center" vertical="center"/>
    </xf>
    <xf numFmtId="177" fontId="51" fillId="2" borderId="48" xfId="2" applyNumberFormat="1" applyFont="1" applyFill="1" applyBorder="1" applyAlignment="1">
      <alignment vertical="center"/>
    </xf>
    <xf numFmtId="0" fontId="51" fillId="0" borderId="48" xfId="7" applyFont="1" applyBorder="1" applyAlignment="1">
      <alignment vertical="center"/>
    </xf>
    <xf numFmtId="0" fontId="51" fillId="0" borderId="48" xfId="7" applyFont="1" applyFill="1" applyBorder="1" applyAlignment="1">
      <alignment vertical="center"/>
    </xf>
    <xf numFmtId="0" fontId="51" fillId="0" borderId="58" xfId="7" applyFont="1" applyBorder="1" applyAlignment="1">
      <alignment horizontal="center" vertical="center" wrapText="1"/>
    </xf>
    <xf numFmtId="0" fontId="51" fillId="0" borderId="0" xfId="7" applyFont="1" applyFill="1" applyAlignment="1">
      <alignment vertical="center"/>
    </xf>
    <xf numFmtId="0" fontId="51" fillId="0" borderId="48" xfId="7" applyFont="1" applyBorder="1" applyAlignment="1">
      <alignment vertical="center" wrapText="1"/>
    </xf>
    <xf numFmtId="0" fontId="51" fillId="0" borderId="48" xfId="7" applyFont="1" applyBorder="1" applyAlignment="1">
      <alignment horizontal="left" vertical="center" wrapText="1"/>
    </xf>
    <xf numFmtId="0" fontId="51" fillId="24" borderId="48" xfId="7" applyFont="1" applyFill="1" applyBorder="1" applyAlignment="1">
      <alignment horizontal="left" vertical="center" wrapText="1"/>
    </xf>
    <xf numFmtId="0" fontId="51" fillId="0" borderId="48" xfId="7" applyFont="1" applyBorder="1" applyAlignment="1">
      <alignment horizontal="left" vertical="center"/>
    </xf>
    <xf numFmtId="0" fontId="51" fillId="0" borderId="0" xfId="7" applyFont="1" applyAlignment="1">
      <alignment horizontal="left" vertical="center"/>
    </xf>
    <xf numFmtId="0" fontId="51" fillId="0" borderId="57" xfId="7" applyFont="1" applyBorder="1" applyAlignment="1">
      <alignment vertical="center" wrapText="1"/>
    </xf>
    <xf numFmtId="165" fontId="51" fillId="0" borderId="48" xfId="2" applyNumberFormat="1" applyFont="1" applyBorder="1" applyAlignment="1">
      <alignment horizontal="center" vertical="center"/>
    </xf>
    <xf numFmtId="0" fontId="51" fillId="0" borderId="55" xfId="7" applyFont="1" applyBorder="1" applyAlignment="1">
      <alignment vertical="center" wrapText="1"/>
    </xf>
    <xf numFmtId="0" fontId="51" fillId="24" borderId="55" xfId="2" applyNumberFormat="1" applyFont="1" applyFill="1" applyBorder="1" applyAlignment="1">
      <alignment horizontal="center" vertical="center"/>
    </xf>
    <xf numFmtId="0" fontId="51" fillId="0" borderId="55" xfId="7" applyFont="1" applyBorder="1" applyAlignment="1">
      <alignment vertical="center"/>
    </xf>
    <xf numFmtId="165" fontId="51" fillId="0" borderId="55" xfId="2" applyNumberFormat="1" applyFont="1" applyBorder="1" applyAlignment="1">
      <alignment horizontal="center" vertical="center"/>
    </xf>
    <xf numFmtId="0" fontId="51" fillId="2" borderId="55" xfId="0" applyFont="1" applyFill="1" applyBorder="1" applyAlignment="1">
      <alignment horizontal="center" vertical="center"/>
    </xf>
    <xf numFmtId="177" fontId="51" fillId="2" borderId="55" xfId="2" applyNumberFormat="1" applyFont="1" applyFill="1" applyBorder="1" applyAlignment="1">
      <alignment vertical="center"/>
    </xf>
    <xf numFmtId="177" fontId="51" fillId="3" borderId="55" xfId="2" applyNumberFormat="1" applyFont="1" applyFill="1" applyBorder="1" applyAlignment="1">
      <alignment vertical="center"/>
    </xf>
    <xf numFmtId="0" fontId="51" fillId="0" borderId="56" xfId="7" applyFont="1" applyBorder="1" applyAlignment="1">
      <alignment horizontal="center" vertical="center" wrapText="1"/>
    </xf>
    <xf numFmtId="0" fontId="51" fillId="0" borderId="60" xfId="7" applyFont="1" applyBorder="1" applyAlignment="1">
      <alignment vertical="center" wrapText="1"/>
    </xf>
    <xf numFmtId="0" fontId="51" fillId="24" borderId="60" xfId="2" applyNumberFormat="1" applyFont="1" applyFill="1" applyBorder="1" applyAlignment="1">
      <alignment horizontal="center" vertical="center"/>
    </xf>
    <xf numFmtId="0" fontId="51" fillId="0" borderId="60" xfId="7" applyFont="1" applyBorder="1" applyAlignment="1">
      <alignment vertical="center"/>
    </xf>
    <xf numFmtId="165" fontId="51" fillId="0" borderId="60" xfId="2" applyNumberFormat="1" applyFont="1" applyBorder="1" applyAlignment="1">
      <alignment horizontal="center" vertical="center"/>
    </xf>
    <xf numFmtId="0" fontId="51" fillId="2" borderId="60" xfId="0" applyFont="1" applyFill="1" applyBorder="1" applyAlignment="1">
      <alignment horizontal="center" vertical="center"/>
    </xf>
    <xf numFmtId="177" fontId="51" fillId="2" borderId="60" xfId="2" applyNumberFormat="1" applyFont="1" applyFill="1" applyBorder="1" applyAlignment="1">
      <alignment vertical="center"/>
    </xf>
    <xf numFmtId="0" fontId="51" fillId="0" borderId="61" xfId="7" applyFont="1" applyBorder="1" applyAlignment="1">
      <alignment horizontal="center" vertical="center" wrapText="1"/>
    </xf>
    <xf numFmtId="0" fontId="52" fillId="2" borderId="0" xfId="0" applyFont="1" applyFill="1" applyAlignment="1">
      <alignment vertical="center"/>
    </xf>
    <xf numFmtId="165" fontId="51" fillId="2" borderId="48" xfId="2" applyNumberFormat="1" applyFont="1" applyFill="1" applyBorder="1" applyAlignment="1">
      <alignment horizontal="center" vertical="center"/>
    </xf>
    <xf numFmtId="166" fontId="51" fillId="2" borderId="48" xfId="0" applyNumberFormat="1" applyFont="1" applyFill="1" applyBorder="1" applyAlignment="1" applyProtection="1">
      <alignment vertical="center"/>
      <protection locked="0"/>
    </xf>
    <xf numFmtId="0" fontId="51" fillId="2" borderId="48" xfId="0" applyFont="1" applyFill="1" applyBorder="1" applyAlignment="1">
      <alignment vertical="center"/>
    </xf>
    <xf numFmtId="165" fontId="51" fillId="2" borderId="48" xfId="2" applyNumberFormat="1" applyFont="1" applyFill="1" applyBorder="1" applyAlignment="1" applyProtection="1">
      <alignment horizontal="right" vertical="center"/>
    </xf>
    <xf numFmtId="165" fontId="51" fillId="2" borderId="60" xfId="2" applyNumberFormat="1" applyFont="1" applyFill="1" applyBorder="1" applyAlignment="1" applyProtection="1">
      <alignment horizontal="right" vertical="center"/>
    </xf>
    <xf numFmtId="0" fontId="51" fillId="2" borderId="60" xfId="0" applyFont="1" applyFill="1" applyBorder="1" applyAlignment="1">
      <alignment vertical="center"/>
    </xf>
    <xf numFmtId="166" fontId="51" fillId="2" borderId="60" xfId="0" applyNumberFormat="1" applyFont="1" applyFill="1" applyBorder="1" applyAlignment="1" applyProtection="1">
      <alignment vertical="center"/>
      <protection locked="0"/>
    </xf>
    <xf numFmtId="177" fontId="50" fillId="10" borderId="147" xfId="2" applyNumberFormat="1" applyFont="1" applyFill="1" applyBorder="1" applyAlignment="1">
      <alignment vertical="center"/>
    </xf>
    <xf numFmtId="0" fontId="50" fillId="2" borderId="0" xfId="0" applyFont="1" applyFill="1" applyBorder="1" applyAlignment="1">
      <alignment horizontal="left" vertical="center" wrapText="1"/>
    </xf>
    <xf numFmtId="0" fontId="50" fillId="2" borderId="0" xfId="2" applyNumberFormat="1" applyFont="1" applyFill="1" applyBorder="1" applyAlignment="1">
      <alignment horizontal="center" vertical="center" wrapText="1"/>
    </xf>
    <xf numFmtId="165" fontId="50" fillId="2" borderId="0" xfId="2" applyNumberFormat="1" applyFont="1" applyFill="1" applyBorder="1" applyAlignment="1">
      <alignment horizontal="left" vertical="center" wrapText="1"/>
    </xf>
    <xf numFmtId="177" fontId="50" fillId="2" borderId="0" xfId="2" applyNumberFormat="1" applyFont="1" applyFill="1" applyBorder="1" applyAlignment="1">
      <alignment horizontal="left" vertical="center" wrapText="1"/>
    </xf>
    <xf numFmtId="0" fontId="51" fillId="2" borderId="0" xfId="0" applyFont="1" applyFill="1" applyBorder="1" applyAlignment="1">
      <alignment vertical="center"/>
    </xf>
    <xf numFmtId="9" fontId="50" fillId="2" borderId="0" xfId="1" applyFont="1" applyFill="1" applyBorder="1" applyAlignment="1" applyProtection="1">
      <alignment vertical="center"/>
    </xf>
    <xf numFmtId="0" fontId="51" fillId="2" borderId="0" xfId="0" applyFont="1" applyFill="1" applyAlignment="1">
      <alignment vertical="center" wrapText="1"/>
    </xf>
    <xf numFmtId="4" fontId="51" fillId="2" borderId="0" xfId="0" applyNumberFormat="1" applyFont="1" applyFill="1" applyAlignment="1">
      <alignment vertical="center"/>
    </xf>
    <xf numFmtId="0" fontId="51" fillId="2" borderId="0" xfId="2" applyNumberFormat="1" applyFont="1" applyFill="1" applyAlignment="1">
      <alignment horizontal="center" vertical="center"/>
    </xf>
    <xf numFmtId="165" fontId="51" fillId="2" borderId="0" xfId="2" applyNumberFormat="1" applyFont="1" applyFill="1" applyAlignment="1">
      <alignment vertical="center"/>
    </xf>
    <xf numFmtId="177" fontId="51" fillId="2" borderId="0" xfId="2" applyNumberFormat="1" applyFont="1" applyFill="1" applyAlignment="1">
      <alignment vertical="center"/>
    </xf>
    <xf numFmtId="0" fontId="51" fillId="0" borderId="48" xfId="7" applyFont="1" applyFill="1" applyBorder="1" applyAlignment="1">
      <alignment vertical="center" wrapText="1"/>
    </xf>
    <xf numFmtId="165" fontId="51" fillId="24" borderId="55" xfId="2" applyNumberFormat="1" applyFont="1" applyFill="1" applyBorder="1" applyAlignment="1">
      <alignment horizontal="center" vertical="center"/>
    </xf>
    <xf numFmtId="0" fontId="49" fillId="0" borderId="54" xfId="0" applyFont="1" applyBorder="1"/>
    <xf numFmtId="0" fontId="49" fillId="0" borderId="57" xfId="0" applyFont="1" applyBorder="1"/>
    <xf numFmtId="165" fontId="51" fillId="24" borderId="161" xfId="2" applyNumberFormat="1" applyFont="1" applyFill="1" applyBorder="1" applyAlignment="1">
      <alignment horizontal="center" vertical="center"/>
    </xf>
    <xf numFmtId="165" fontId="51" fillId="24" borderId="83" xfId="2" applyFont="1" applyFill="1" applyBorder="1" applyAlignment="1">
      <alignment vertical="center"/>
    </xf>
    <xf numFmtId="165" fontId="51" fillId="24" borderId="48" xfId="2" applyFont="1" applyFill="1" applyBorder="1" applyAlignment="1">
      <alignment vertical="center"/>
    </xf>
    <xf numFmtId="165" fontId="51" fillId="24" borderId="48" xfId="2" applyFont="1" applyFill="1" applyBorder="1" applyAlignment="1">
      <alignment horizontal="left" vertical="center"/>
    </xf>
    <xf numFmtId="165" fontId="51" fillId="0" borderId="48" xfId="2" applyFont="1" applyBorder="1" applyAlignment="1">
      <alignment vertical="center"/>
    </xf>
    <xf numFmtId="165" fontId="51" fillId="0" borderId="55" xfId="2" applyFont="1" applyBorder="1" applyAlignment="1">
      <alignment vertical="center"/>
    </xf>
    <xf numFmtId="165" fontId="51" fillId="0" borderId="60" xfId="2" applyFont="1" applyBorder="1" applyAlignment="1">
      <alignment vertical="center"/>
    </xf>
    <xf numFmtId="165" fontId="51" fillId="2" borderId="48" xfId="2" applyFont="1" applyFill="1" applyBorder="1" applyAlignment="1">
      <alignment horizontal="center" vertical="center"/>
    </xf>
    <xf numFmtId="165" fontId="51" fillId="2" borderId="48" xfId="2" applyFont="1" applyFill="1" applyBorder="1" applyAlignment="1" applyProtection="1">
      <alignment horizontal="right" vertical="center"/>
    </xf>
    <xf numFmtId="165" fontId="51" fillId="2" borderId="60" xfId="2" applyFont="1" applyFill="1" applyBorder="1" applyAlignment="1" applyProtection="1">
      <alignment horizontal="right" vertical="center"/>
    </xf>
    <xf numFmtId="177" fontId="51" fillId="3" borderId="161" xfId="2" applyNumberFormat="1" applyFont="1" applyFill="1" applyBorder="1" applyAlignment="1">
      <alignment vertical="center"/>
    </xf>
    <xf numFmtId="165" fontId="51" fillId="0" borderId="86" xfId="2" applyNumberFormat="1" applyFont="1" applyBorder="1" applyAlignment="1">
      <alignment horizontal="center" vertical="center"/>
    </xf>
    <xf numFmtId="165" fontId="50" fillId="2" borderId="0" xfId="2" applyNumberFormat="1" applyFont="1" applyFill="1" applyBorder="1" applyAlignment="1">
      <alignment horizontal="center" vertical="center" wrapText="1"/>
    </xf>
    <xf numFmtId="165" fontId="51" fillId="2" borderId="0" xfId="2" applyNumberFormat="1" applyFont="1" applyFill="1" applyAlignment="1">
      <alignment horizontal="center" vertical="center"/>
    </xf>
    <xf numFmtId="177" fontId="55" fillId="3" borderId="55" xfId="2" applyNumberFormat="1" applyFont="1" applyFill="1" applyBorder="1" applyAlignment="1">
      <alignment vertical="center"/>
    </xf>
    <xf numFmtId="177" fontId="55" fillId="3" borderId="83" xfId="2" applyNumberFormat="1" applyFont="1" applyFill="1" applyBorder="1" applyAlignment="1">
      <alignment vertical="center"/>
    </xf>
    <xf numFmtId="177" fontId="55" fillId="3" borderId="161" xfId="2" applyNumberFormat="1" applyFont="1" applyFill="1" applyBorder="1" applyAlignment="1">
      <alignment vertical="center"/>
    </xf>
    <xf numFmtId="0" fontId="58" fillId="2" borderId="14" xfId="0" applyFont="1" applyFill="1" applyBorder="1" applyAlignment="1">
      <alignment horizontal="center" vertical="top" wrapText="1"/>
    </xf>
    <xf numFmtId="4" fontId="56" fillId="2" borderId="6" xfId="12" applyNumberFormat="1" applyFont="1" applyFill="1" applyBorder="1" applyAlignment="1">
      <alignment horizontal="right" vertical="top" wrapText="1"/>
    </xf>
    <xf numFmtId="1" fontId="57" fillId="0" borderId="13" xfId="0" applyNumberFormat="1" applyFont="1" applyFill="1" applyBorder="1" applyAlignment="1">
      <alignment vertical="top"/>
    </xf>
    <xf numFmtId="0" fontId="57" fillId="2" borderId="10" xfId="0" applyFont="1" applyFill="1" applyBorder="1" applyAlignment="1">
      <alignment horizontal="justify" vertical="top" wrapText="1"/>
    </xf>
    <xf numFmtId="0" fontId="57" fillId="2" borderId="10" xfId="0" applyFont="1" applyFill="1" applyBorder="1" applyAlignment="1">
      <alignment horizontal="left" vertical="top" wrapText="1"/>
    </xf>
    <xf numFmtId="0" fontId="56" fillId="2" borderId="0" xfId="0" applyFont="1" applyFill="1" applyAlignment="1">
      <alignment vertical="top"/>
    </xf>
    <xf numFmtId="0" fontId="59" fillId="0" borderId="0" xfId="0" applyFont="1" applyAlignment="1">
      <alignment vertical="center" wrapText="1"/>
    </xf>
    <xf numFmtId="165" fontId="51" fillId="0" borderId="83" xfId="2" applyNumberFormat="1" applyFont="1" applyBorder="1" applyAlignment="1">
      <alignment horizontal="center" vertical="center"/>
    </xf>
    <xf numFmtId="0" fontId="51" fillId="0" borderId="57" xfId="7" applyFont="1" applyBorder="1" applyAlignment="1">
      <alignment horizontal="left" vertical="center" wrapText="1"/>
    </xf>
    <xf numFmtId="0" fontId="44" fillId="0" borderId="0" xfId="0" applyFont="1"/>
    <xf numFmtId="0" fontId="0" fillId="2" borderId="37" xfId="0" applyFont="1" applyFill="1" applyBorder="1" applyAlignment="1" applyProtection="1">
      <alignment horizontal="left" vertical="top"/>
      <protection locked="0"/>
    </xf>
    <xf numFmtId="0" fontId="0" fillId="2" borderId="143" xfId="0" applyFont="1" applyFill="1" applyBorder="1" applyAlignment="1" applyProtection="1">
      <alignment horizontal="left" vertical="top"/>
      <protection locked="0"/>
    </xf>
    <xf numFmtId="0" fontId="0" fillId="2" borderId="166" xfId="0" applyFont="1" applyFill="1" applyBorder="1" applyAlignment="1" applyProtection="1">
      <alignment horizontal="left" vertical="top"/>
      <protection locked="0"/>
    </xf>
    <xf numFmtId="0" fontId="0" fillId="2" borderId="165" xfId="0" applyFill="1" applyBorder="1" applyAlignment="1" applyProtection="1">
      <alignment horizontal="left" vertical="top"/>
      <protection locked="0"/>
    </xf>
    <xf numFmtId="0" fontId="0" fillId="2" borderId="0" xfId="0" applyFill="1" applyAlignment="1">
      <alignment vertical="top"/>
    </xf>
    <xf numFmtId="3" fontId="2" fillId="3" borderId="14" xfId="0" applyNumberFormat="1" applyFont="1" applyFill="1" applyBorder="1" applyAlignment="1">
      <alignment vertical="top"/>
    </xf>
    <xf numFmtId="0" fontId="0" fillId="2" borderId="4" xfId="0" applyFill="1" applyBorder="1"/>
    <xf numFmtId="3" fontId="10" fillId="0" borderId="48" xfId="15" applyNumberFormat="1" applyBorder="1"/>
    <xf numFmtId="9" fontId="10" fillId="0" borderId="48" xfId="15" applyNumberFormat="1" applyBorder="1"/>
    <xf numFmtId="3" fontId="2" fillId="0" borderId="48" xfId="15" applyNumberFormat="1" applyFont="1" applyBorder="1"/>
    <xf numFmtId="0" fontId="0" fillId="2" borderId="1" xfId="0" applyFill="1" applyBorder="1"/>
    <xf numFmtId="4" fontId="10" fillId="0" borderId="50" xfId="15" applyNumberFormat="1" applyBorder="1" applyAlignment="1">
      <alignment horizontal="center"/>
    </xf>
    <xf numFmtId="0" fontId="0" fillId="2" borderId="50" xfId="0" applyFill="1" applyBorder="1"/>
    <xf numFmtId="9" fontId="2" fillId="0" borderId="48" xfId="15" applyNumberFormat="1" applyFont="1" applyBorder="1"/>
    <xf numFmtId="3" fontId="40" fillId="2" borderId="6" xfId="0" applyNumberFormat="1" applyFont="1" applyFill="1" applyBorder="1" applyAlignment="1">
      <alignment horizontal="right" vertical="top" wrapText="1"/>
    </xf>
    <xf numFmtId="0" fontId="40" fillId="3" borderId="25" xfId="0" applyFont="1" applyFill="1" applyBorder="1" applyAlignment="1">
      <alignment vertical="top"/>
    </xf>
    <xf numFmtId="0" fontId="0" fillId="2" borderId="38" xfId="0" applyFont="1" applyFill="1" applyBorder="1" applyAlignment="1" applyProtection="1">
      <alignment horizontal="left" vertical="top"/>
      <protection locked="0"/>
    </xf>
    <xf numFmtId="0" fontId="0" fillId="2" borderId="16" xfId="0" applyFont="1" applyFill="1" applyBorder="1" applyAlignment="1" applyProtection="1">
      <alignment horizontal="left" vertical="top"/>
      <protection locked="0"/>
    </xf>
    <xf numFmtId="3" fontId="0" fillId="0" borderId="69" xfId="7" applyNumberFormat="1" applyFont="1" applyFill="1" applyBorder="1" applyAlignment="1">
      <alignment vertical="top" wrapText="1"/>
    </xf>
    <xf numFmtId="0" fontId="50" fillId="37" borderId="86" xfId="0" applyFont="1" applyFill="1" applyBorder="1" applyAlignment="1">
      <alignment horizontal="center" vertical="center" wrapText="1"/>
    </xf>
    <xf numFmtId="0" fontId="53" fillId="35" borderId="86" xfId="7" applyFont="1" applyFill="1" applyBorder="1" applyAlignment="1">
      <alignment horizontal="center" vertical="center" wrapText="1"/>
    </xf>
    <xf numFmtId="0" fontId="50" fillId="37" borderId="86" xfId="2" applyNumberFormat="1" applyFont="1" applyFill="1" applyBorder="1" applyAlignment="1">
      <alignment horizontal="center" vertical="center" wrapText="1"/>
    </xf>
    <xf numFmtId="165" fontId="50" fillId="37" borderId="86" xfId="2" applyNumberFormat="1" applyFont="1" applyFill="1" applyBorder="1" applyAlignment="1">
      <alignment horizontal="center" vertical="center" wrapText="1"/>
    </xf>
    <xf numFmtId="177" fontId="50" fillId="37" borderId="86" xfId="2" applyNumberFormat="1" applyFont="1" applyFill="1" applyBorder="1" applyAlignment="1">
      <alignment horizontal="center" vertical="center" wrapText="1"/>
    </xf>
    <xf numFmtId="10" fontId="2" fillId="35" borderId="46" xfId="7" applyNumberFormat="1" applyFont="1" applyFill="1" applyBorder="1" applyAlignment="1">
      <alignment horizontal="center"/>
    </xf>
    <xf numFmtId="10" fontId="10" fillId="35" borderId="46" xfId="7" applyNumberFormat="1" applyFont="1" applyFill="1" applyBorder="1" applyAlignment="1">
      <alignment horizontal="center"/>
    </xf>
    <xf numFmtId="3" fontId="0" fillId="38" borderId="20" xfId="0" applyNumberFormat="1" applyFont="1" applyFill="1" applyBorder="1" applyAlignment="1">
      <alignment vertical="top"/>
    </xf>
    <xf numFmtId="3" fontId="51" fillId="24" borderId="83" xfId="2" applyNumberFormat="1" applyFont="1" applyFill="1" applyBorder="1" applyAlignment="1">
      <alignment horizontal="center" vertical="center"/>
    </xf>
    <xf numFmtId="164" fontId="0" fillId="2" borderId="0" xfId="0" applyNumberFormat="1" applyFill="1"/>
    <xf numFmtId="0" fontId="0" fillId="2" borderId="48" xfId="0" applyFill="1" applyBorder="1"/>
    <xf numFmtId="165" fontId="0" fillId="2" borderId="48" xfId="2" applyFont="1" applyFill="1" applyBorder="1"/>
    <xf numFmtId="165" fontId="0" fillId="2" borderId="0" xfId="2" applyFont="1" applyFill="1"/>
    <xf numFmtId="0" fontId="0" fillId="2" borderId="0" xfId="0" applyFill="1" applyBorder="1"/>
    <xf numFmtId="164" fontId="0" fillId="0" borderId="0" xfId="17" applyFont="1" applyFill="1"/>
    <xf numFmtId="3" fontId="0" fillId="2" borderId="0" xfId="0" applyNumberFormat="1" applyFont="1" applyFill="1" applyBorder="1" applyAlignment="1">
      <alignment horizontal="center" vertical="top"/>
    </xf>
    <xf numFmtId="177" fontId="0" fillId="0" borderId="0" xfId="2" applyNumberFormat="1" applyFont="1" applyFill="1" applyBorder="1" applyAlignment="1">
      <alignment vertical="center"/>
    </xf>
    <xf numFmtId="177" fontId="0" fillId="0" borderId="0" xfId="2" applyNumberFormat="1" applyFont="1" applyFill="1" applyBorder="1" applyAlignment="1">
      <alignment horizontal="center" vertical="top"/>
    </xf>
    <xf numFmtId="3" fontId="38" fillId="10" borderId="62" xfId="0" applyNumberFormat="1" applyFont="1" applyFill="1" applyBorder="1"/>
    <xf numFmtId="3" fontId="2" fillId="2" borderId="0" xfId="0" applyNumberFormat="1" applyFont="1" applyFill="1" applyBorder="1"/>
    <xf numFmtId="0" fontId="0" fillId="2" borderId="120" xfId="0" applyFont="1" applyFill="1" applyBorder="1" applyAlignment="1">
      <alignment vertical="top"/>
    </xf>
    <xf numFmtId="0" fontId="2" fillId="0" borderId="0" xfId="0" applyFont="1" applyFill="1" applyAlignment="1">
      <alignment vertical="top"/>
    </xf>
    <xf numFmtId="0" fontId="0" fillId="2" borderId="0" xfId="0" applyFill="1" applyBorder="1" applyAlignment="1">
      <alignment vertical="top"/>
    </xf>
    <xf numFmtId="3" fontId="51" fillId="24" borderId="48" xfId="2" applyNumberFormat="1" applyFont="1" applyFill="1" applyBorder="1" applyAlignment="1">
      <alignment horizontal="center" vertical="center"/>
    </xf>
    <xf numFmtId="177" fontId="51" fillId="2" borderId="49" xfId="0" applyNumberFormat="1" applyFont="1" applyFill="1" applyBorder="1" applyAlignment="1">
      <alignment vertical="center"/>
    </xf>
    <xf numFmtId="0" fontId="49" fillId="0" borderId="50" xfId="0" applyFont="1" applyBorder="1"/>
    <xf numFmtId="165" fontId="51" fillId="2" borderId="49" xfId="2" applyNumberFormat="1" applyFont="1" applyFill="1" applyBorder="1" applyAlignment="1">
      <alignment vertical="center"/>
    </xf>
    <xf numFmtId="0" fontId="48" fillId="0" borderId="50" xfId="0" applyFont="1" applyBorder="1" applyAlignment="1">
      <alignment horizontal="left" vertical="center" wrapText="1"/>
    </xf>
    <xf numFmtId="0" fontId="0" fillId="2" borderId="50" xfId="0" applyFill="1" applyBorder="1" applyAlignment="1">
      <alignment vertical="top"/>
    </xf>
    <xf numFmtId="3" fontId="0" fillId="2" borderId="48" xfId="0" applyNumberFormat="1" applyFill="1" applyBorder="1" applyAlignment="1">
      <alignment vertical="top"/>
    </xf>
    <xf numFmtId="3" fontId="0" fillId="2" borderId="49" xfId="0" applyNumberFormat="1" applyFill="1" applyBorder="1" applyAlignment="1">
      <alignment vertical="top"/>
    </xf>
    <xf numFmtId="0" fontId="0" fillId="2" borderId="48" xfId="0" applyFont="1" applyFill="1" applyBorder="1" applyAlignment="1">
      <alignment vertical="top"/>
    </xf>
    <xf numFmtId="0" fontId="0" fillId="2" borderId="48" xfId="0" applyFont="1" applyFill="1" applyBorder="1" applyAlignment="1">
      <alignment vertical="top" wrapText="1"/>
    </xf>
    <xf numFmtId="49" fontId="0" fillId="2" borderId="48" xfId="0" applyNumberFormat="1" applyFont="1" applyFill="1" applyBorder="1" applyAlignment="1">
      <alignment vertical="top"/>
    </xf>
    <xf numFmtId="4" fontId="0" fillId="2" borderId="48" xfId="0" applyNumberFormat="1" applyFont="1" applyFill="1" applyBorder="1" applyAlignment="1">
      <alignment vertical="top"/>
    </xf>
    <xf numFmtId="185" fontId="0" fillId="2" borderId="48" xfId="0" applyNumberFormat="1" applyFont="1" applyFill="1" applyBorder="1" applyAlignment="1">
      <alignment vertical="top"/>
    </xf>
    <xf numFmtId="49" fontId="0" fillId="2" borderId="48" xfId="0" applyNumberFormat="1" applyFont="1" applyFill="1" applyBorder="1" applyAlignment="1">
      <alignment vertical="top" wrapText="1"/>
    </xf>
    <xf numFmtId="0" fontId="48" fillId="0" borderId="83" xfId="0" applyFont="1" applyBorder="1"/>
    <xf numFmtId="0" fontId="51" fillId="24" borderId="83" xfId="2" applyNumberFormat="1" applyFont="1" applyFill="1" applyBorder="1" applyAlignment="1">
      <alignment horizontal="center" vertical="center"/>
    </xf>
    <xf numFmtId="165" fontId="51" fillId="2" borderId="83" xfId="2" applyFont="1" applyFill="1" applyBorder="1" applyAlignment="1">
      <alignment horizontal="center" vertical="center"/>
    </xf>
    <xf numFmtId="165" fontId="51" fillId="2" borderId="83" xfId="2" applyNumberFormat="1" applyFont="1" applyFill="1" applyBorder="1" applyAlignment="1">
      <alignment horizontal="center" vertical="center"/>
    </xf>
    <xf numFmtId="0" fontId="49" fillId="0" borderId="159" xfId="0" applyFont="1" applyBorder="1"/>
    <xf numFmtId="165" fontId="51" fillId="2" borderId="60" xfId="2" applyFont="1" applyFill="1" applyBorder="1" applyAlignment="1">
      <alignment horizontal="center" vertical="center"/>
    </xf>
    <xf numFmtId="165" fontId="51" fillId="2" borderId="60" xfId="2" applyNumberFormat="1" applyFont="1" applyFill="1" applyBorder="1" applyAlignment="1">
      <alignment horizontal="center" vertical="center"/>
    </xf>
    <xf numFmtId="165" fontId="51" fillId="24" borderId="60" xfId="2" applyNumberFormat="1" applyFont="1" applyFill="1" applyBorder="1" applyAlignment="1">
      <alignment horizontal="center" vertical="center"/>
    </xf>
    <xf numFmtId="0" fontId="60" fillId="24" borderId="48" xfId="7" applyFont="1" applyFill="1" applyBorder="1" applyAlignment="1">
      <alignment horizontal="left" vertical="center" wrapText="1"/>
    </xf>
    <xf numFmtId="0" fontId="61" fillId="24" borderId="48" xfId="2" applyNumberFormat="1" applyFont="1" applyFill="1" applyBorder="1" applyAlignment="1">
      <alignment horizontal="center" vertical="center"/>
    </xf>
    <xf numFmtId="165" fontId="61" fillId="2" borderId="49" xfId="2" applyNumberFormat="1" applyFont="1" applyFill="1" applyBorder="1" applyAlignment="1">
      <alignment vertical="center"/>
    </xf>
    <xf numFmtId="0" fontId="50" fillId="2" borderId="50" xfId="0" applyFont="1" applyFill="1" applyBorder="1" applyAlignment="1">
      <alignment vertical="center" wrapText="1"/>
    </xf>
    <xf numFmtId="0" fontId="50" fillId="2" borderId="79" xfId="0" applyFont="1" applyFill="1" applyBorder="1" applyAlignment="1">
      <alignment vertical="center" wrapText="1"/>
    </xf>
    <xf numFmtId="0" fontId="50" fillId="24" borderId="83" xfId="7" applyFont="1" applyFill="1" applyBorder="1" applyAlignment="1">
      <alignment vertical="center" wrapText="1"/>
    </xf>
    <xf numFmtId="3" fontId="50" fillId="24" borderId="83" xfId="2" applyNumberFormat="1" applyFont="1" applyFill="1" applyBorder="1" applyAlignment="1">
      <alignment horizontal="center" vertical="center"/>
    </xf>
    <xf numFmtId="177" fontId="50" fillId="2" borderId="78" xfId="0" applyNumberFormat="1" applyFont="1" applyFill="1" applyBorder="1" applyAlignment="1">
      <alignment vertical="center"/>
    </xf>
    <xf numFmtId="0" fontId="48" fillId="0" borderId="82" xfId="0" applyFont="1" applyBorder="1" applyAlignment="1">
      <alignment horizontal="left" vertical="center" wrapText="1"/>
    </xf>
    <xf numFmtId="0" fontId="48" fillId="0" borderId="86" xfId="0" applyFont="1" applyBorder="1"/>
    <xf numFmtId="0" fontId="51" fillId="24" borderId="86" xfId="2" applyNumberFormat="1" applyFont="1" applyFill="1" applyBorder="1" applyAlignment="1">
      <alignment horizontal="center" vertical="center"/>
    </xf>
    <xf numFmtId="165" fontId="51" fillId="2" borderId="81" xfId="2" applyNumberFormat="1" applyFont="1" applyFill="1" applyBorder="1" applyAlignment="1">
      <alignment vertical="center"/>
    </xf>
    <xf numFmtId="0" fontId="50" fillId="2" borderId="82" xfId="0" applyFont="1" applyFill="1" applyBorder="1" applyAlignment="1">
      <alignment vertical="center" wrapText="1"/>
    </xf>
    <xf numFmtId="0" fontId="50" fillId="2" borderId="86" xfId="0" applyFont="1" applyFill="1" applyBorder="1" applyAlignment="1">
      <alignment vertical="center"/>
    </xf>
    <xf numFmtId="0" fontId="50" fillId="2" borderId="86" xfId="2" applyNumberFormat="1" applyFont="1" applyFill="1" applyBorder="1" applyAlignment="1">
      <alignment horizontal="center" vertical="center"/>
    </xf>
    <xf numFmtId="164" fontId="50" fillId="2" borderId="81" xfId="17" applyFont="1" applyFill="1" applyBorder="1" applyAlignment="1">
      <alignment vertical="center"/>
    </xf>
    <xf numFmtId="0" fontId="2" fillId="2" borderId="82" xfId="0" applyFont="1" applyFill="1" applyBorder="1" applyAlignment="1">
      <alignment vertical="top"/>
    </xf>
    <xf numFmtId="0" fontId="2" fillId="2" borderId="86" xfId="0" applyFont="1" applyFill="1" applyBorder="1" applyAlignment="1">
      <alignment vertical="top"/>
    </xf>
    <xf numFmtId="164" fontId="2" fillId="0" borderId="81" xfId="17" applyFont="1" applyFill="1" applyBorder="1" applyAlignment="1">
      <alignment vertical="top"/>
    </xf>
    <xf numFmtId="0" fontId="2" fillId="2" borderId="79" xfId="0" applyFont="1" applyFill="1" applyBorder="1" applyAlignment="1">
      <alignment horizontal="center" vertical="top"/>
    </xf>
    <xf numFmtId="3" fontId="2" fillId="2" borderId="83" xfId="0" applyNumberFormat="1" applyFont="1" applyFill="1" applyBorder="1" applyAlignment="1">
      <alignment horizontal="center" vertical="top" wrapText="1"/>
    </xf>
    <xf numFmtId="3" fontId="2" fillId="2" borderId="78" xfId="0" applyNumberFormat="1" applyFont="1" applyFill="1" applyBorder="1" applyAlignment="1">
      <alignment horizontal="center" vertical="top"/>
    </xf>
    <xf numFmtId="0" fontId="2" fillId="2" borderId="89" xfId="0" applyFont="1" applyFill="1" applyBorder="1" applyAlignment="1">
      <alignment horizontal="left"/>
    </xf>
    <xf numFmtId="0" fontId="2" fillId="2" borderId="106" xfId="0" applyFont="1" applyFill="1" applyBorder="1" applyAlignment="1">
      <alignment horizontal="left"/>
    </xf>
    <xf numFmtId="0" fontId="38" fillId="2" borderId="47" xfId="0" applyFont="1" applyFill="1" applyBorder="1" applyAlignment="1">
      <alignment horizontal="left" wrapText="1"/>
    </xf>
    <xf numFmtId="0" fontId="38" fillId="2" borderId="84" xfId="0" applyFont="1" applyFill="1" applyBorder="1" applyAlignment="1">
      <alignment horizontal="left" wrapText="1"/>
    </xf>
    <xf numFmtId="0" fontId="0" fillId="2" borderId="39" xfId="0" applyFont="1" applyFill="1" applyBorder="1" applyAlignment="1" applyProtection="1">
      <alignment horizontal="left"/>
    </xf>
    <xf numFmtId="0" fontId="0" fillId="2" borderId="4" xfId="0" applyFill="1" applyBorder="1" applyAlignment="1" applyProtection="1">
      <protection locked="0"/>
    </xf>
    <xf numFmtId="0" fontId="0" fillId="2" borderId="4" xfId="0" applyFont="1" applyFill="1" applyBorder="1" applyAlignment="1" applyProtection="1">
      <protection locked="0"/>
    </xf>
    <xf numFmtId="167" fontId="0" fillId="2" borderId="3" xfId="0" applyNumberFormat="1" applyFill="1" applyBorder="1" applyAlignment="1" applyProtection="1">
      <protection locked="0"/>
    </xf>
    <xf numFmtId="167" fontId="0" fillId="2" borderId="3" xfId="0" applyNumberFormat="1" applyFont="1" applyFill="1" applyBorder="1" applyAlignment="1" applyProtection="1">
      <protection locked="0"/>
    </xf>
    <xf numFmtId="0" fontId="0" fillId="2" borderId="0" xfId="0" applyFont="1" applyFill="1" applyBorder="1" applyAlignment="1" applyProtection="1">
      <alignment horizontal="left"/>
    </xf>
    <xf numFmtId="0" fontId="2" fillId="4" borderId="47" xfId="0" applyFont="1" applyFill="1" applyBorder="1" applyAlignment="1">
      <alignment horizontal="center" vertical="top"/>
    </xf>
    <xf numFmtId="0" fontId="2" fillId="4" borderId="85" xfId="0" applyFont="1" applyFill="1" applyBorder="1" applyAlignment="1">
      <alignment horizontal="center" vertical="top"/>
    </xf>
    <xf numFmtId="0" fontId="0" fillId="2" borderId="5" xfId="0" applyFill="1" applyBorder="1" applyAlignment="1" applyProtection="1">
      <protection locked="0"/>
    </xf>
    <xf numFmtId="0" fontId="0" fillId="2" borderId="5" xfId="0" applyFont="1" applyFill="1" applyBorder="1" applyAlignment="1" applyProtection="1">
      <protection locked="0"/>
    </xf>
    <xf numFmtId="166" fontId="0" fillId="2" borderId="48" xfId="0" applyNumberFormat="1" applyFont="1" applyFill="1" applyBorder="1" applyAlignment="1" applyProtection="1">
      <alignment horizontal="center"/>
      <protection locked="0"/>
    </xf>
    <xf numFmtId="0" fontId="0" fillId="2" borderId="0" xfId="0" applyFill="1" applyBorder="1" applyAlignment="1"/>
    <xf numFmtId="0" fontId="2" fillId="4" borderId="12" xfId="0" applyFont="1" applyFill="1" applyBorder="1" applyAlignment="1">
      <alignment horizontal="center"/>
    </xf>
    <xf numFmtId="0" fontId="0" fillId="2" borderId="3" xfId="0" applyFill="1" applyBorder="1" applyAlignment="1" applyProtection="1">
      <protection locked="0"/>
    </xf>
    <xf numFmtId="0" fontId="0" fillId="2" borderId="3" xfId="0" applyFont="1" applyFill="1" applyBorder="1" applyAlignment="1" applyProtection="1">
      <protection locked="0"/>
    </xf>
    <xf numFmtId="0" fontId="0" fillId="2" borderId="49" xfId="0" applyFont="1" applyFill="1" applyBorder="1" applyAlignment="1" applyProtection="1">
      <alignment horizontal="center"/>
      <protection locked="0"/>
    </xf>
    <xf numFmtId="0" fontId="0" fillId="2" borderId="50" xfId="0" applyFont="1" applyFill="1" applyBorder="1" applyAlignment="1" applyProtection="1">
      <alignment horizontal="center"/>
      <protection locked="0"/>
    </xf>
    <xf numFmtId="0" fontId="0" fillId="2" borderId="49" xfId="0" applyFill="1" applyBorder="1" applyAlignment="1" applyProtection="1">
      <alignment horizontal="center"/>
      <protection locked="0"/>
    </xf>
    <xf numFmtId="0" fontId="0" fillId="0" borderId="4" xfId="0" applyFont="1" applyBorder="1" applyAlignment="1">
      <alignment horizontal="left" vertical="top" wrapText="1"/>
    </xf>
    <xf numFmtId="166" fontId="0" fillId="2" borderId="4" xfId="0" applyNumberFormat="1" applyFont="1" applyFill="1" applyBorder="1" applyAlignment="1" applyProtection="1">
      <alignment horizontal="left"/>
      <protection locked="0"/>
    </xf>
    <xf numFmtId="0" fontId="0" fillId="2" borderId="4" xfId="0" applyFill="1" applyBorder="1" applyAlignment="1"/>
    <xf numFmtId="0" fontId="0" fillId="2" borderId="0" xfId="0" applyFill="1" applyBorder="1" applyAlignment="1">
      <alignment horizontal="center" vertical="center" wrapText="1"/>
    </xf>
    <xf numFmtId="0" fontId="0" fillId="2" borderId="0" xfId="0" applyFill="1" applyBorder="1" applyAlignment="1">
      <alignment horizontal="center" vertical="center"/>
    </xf>
    <xf numFmtId="0" fontId="2" fillId="4" borderId="4" xfId="0" applyFont="1" applyFill="1" applyBorder="1" applyAlignment="1">
      <alignment horizontal="center" wrapText="1"/>
    </xf>
    <xf numFmtId="0" fontId="2" fillId="4" borderId="1" xfId="0" applyFont="1" applyFill="1" applyBorder="1" applyAlignment="1">
      <alignment horizontal="center" wrapText="1"/>
    </xf>
    <xf numFmtId="0" fontId="0" fillId="2" borderId="1" xfId="0" applyFill="1" applyBorder="1" applyAlignment="1"/>
    <xf numFmtId="0" fontId="2" fillId="4" borderId="4" xfId="0" applyFont="1" applyFill="1" applyBorder="1" applyAlignment="1">
      <alignment horizontal="center"/>
    </xf>
    <xf numFmtId="164" fontId="0" fillId="2" borderId="48" xfId="17" applyFont="1" applyFill="1" applyBorder="1" applyAlignment="1">
      <alignment horizontal="center" vertical="top"/>
    </xf>
    <xf numFmtId="0" fontId="2" fillId="2" borderId="29" xfId="0" applyFont="1" applyFill="1" applyBorder="1" applyAlignment="1">
      <alignment horizontal="left" vertical="top" wrapText="1"/>
    </xf>
    <xf numFmtId="0" fontId="2" fillId="2" borderId="10" xfId="0" applyFont="1" applyFill="1" applyBorder="1" applyAlignment="1">
      <alignment horizontal="left" vertical="top" wrapText="1"/>
    </xf>
    <xf numFmtId="0" fontId="2" fillId="4" borderId="29" xfId="0" applyFont="1" applyFill="1" applyBorder="1" applyAlignment="1">
      <alignment horizontal="left" vertical="top"/>
    </xf>
    <xf numFmtId="0" fontId="2" fillId="4" borderId="10" xfId="0" applyFont="1" applyFill="1" applyBorder="1" applyAlignment="1">
      <alignment horizontal="left" vertical="top"/>
    </xf>
    <xf numFmtId="0" fontId="2" fillId="4" borderId="12" xfId="0" applyFont="1" applyFill="1" applyBorder="1" applyAlignment="1">
      <alignment horizontal="center" vertical="top"/>
    </xf>
    <xf numFmtId="0" fontId="2" fillId="4" borderId="10" xfId="0" applyFont="1" applyFill="1" applyBorder="1" applyAlignment="1">
      <alignment horizontal="center" vertical="top"/>
    </xf>
    <xf numFmtId="0" fontId="2" fillId="2" borderId="0" xfId="0" applyFont="1" applyFill="1" applyBorder="1" applyAlignment="1">
      <alignment vertical="top" wrapText="1"/>
    </xf>
    <xf numFmtId="0" fontId="2" fillId="2" borderId="7" xfId="0" applyFont="1" applyFill="1" applyBorder="1" applyAlignment="1">
      <alignment vertical="top" wrapText="1"/>
    </xf>
    <xf numFmtId="0" fontId="2" fillId="4" borderId="28" xfId="0" applyFont="1" applyFill="1" applyBorder="1" applyAlignment="1">
      <alignment horizontal="left" vertical="top"/>
    </xf>
    <xf numFmtId="0" fontId="2" fillId="2" borderId="29" xfId="0" applyFont="1" applyFill="1" applyBorder="1" applyAlignment="1">
      <alignment vertical="top"/>
    </xf>
    <xf numFmtId="0" fontId="2" fillId="2" borderId="13" xfId="0" applyFont="1" applyFill="1" applyBorder="1" applyAlignment="1">
      <alignment vertical="top"/>
    </xf>
    <xf numFmtId="0" fontId="0" fillId="2" borderId="8" xfId="0" applyFont="1" applyFill="1" applyBorder="1" applyAlignment="1">
      <alignment horizontal="center" vertical="top"/>
    </xf>
    <xf numFmtId="0" fontId="0" fillId="2" borderId="10" xfId="0" applyFont="1" applyFill="1" applyBorder="1" applyAlignment="1">
      <alignment horizontal="center" vertical="top"/>
    </xf>
    <xf numFmtId="0" fontId="0" fillId="2" borderId="28" xfId="0" applyFont="1" applyFill="1" applyBorder="1" applyAlignment="1">
      <alignment horizontal="center" vertical="top"/>
    </xf>
    <xf numFmtId="0" fontId="48" fillId="0" borderId="99" xfId="0" applyFont="1" applyBorder="1" applyAlignment="1">
      <alignment horizontal="left" vertical="center" wrapText="1"/>
    </xf>
    <xf numFmtId="0" fontId="48" fillId="0" borderId="108" xfId="0" applyFont="1" applyBorder="1" applyAlignment="1">
      <alignment horizontal="left" vertical="center" wrapText="1"/>
    </xf>
    <xf numFmtId="0" fontId="48" fillId="0" borderId="162" xfId="0" applyFont="1" applyBorder="1" applyAlignment="1">
      <alignment horizontal="left" vertical="center" wrapText="1"/>
    </xf>
    <xf numFmtId="0" fontId="51" fillId="0" borderId="51" xfId="7" applyFont="1" applyBorder="1" applyAlignment="1">
      <alignment horizontal="left" vertical="center" wrapText="1"/>
    </xf>
    <xf numFmtId="0" fontId="51" fillId="0" borderId="108" xfId="7" applyFont="1" applyBorder="1" applyAlignment="1">
      <alignment horizontal="left" vertical="center" wrapText="1"/>
    </xf>
    <xf numFmtId="0" fontId="51" fillId="0" borderId="159" xfId="7" applyFont="1" applyBorder="1" applyAlignment="1">
      <alignment horizontal="left" vertical="center" wrapText="1"/>
    </xf>
    <xf numFmtId="0" fontId="50" fillId="4" borderId="91" xfId="0" applyFont="1" applyFill="1" applyBorder="1" applyAlignment="1">
      <alignment horizontal="center" vertical="center" wrapText="1"/>
    </xf>
    <xf numFmtId="0" fontId="50" fillId="4" borderId="164" xfId="0" applyFont="1" applyFill="1" applyBorder="1" applyAlignment="1">
      <alignment horizontal="center" vertical="center" wrapText="1"/>
    </xf>
    <xf numFmtId="0" fontId="51" fillId="0" borderId="99" xfId="7" applyFont="1" applyBorder="1" applyAlignment="1">
      <alignment horizontal="left" vertical="center" wrapText="1"/>
    </xf>
    <xf numFmtId="0" fontId="50" fillId="37" borderId="47" xfId="0" applyFont="1" applyFill="1" applyBorder="1" applyAlignment="1">
      <alignment horizontal="left" vertical="center" wrapText="1"/>
    </xf>
    <xf numFmtId="0" fontId="50" fillId="37" borderId="85" xfId="0" applyFont="1" applyFill="1" applyBorder="1" applyAlignment="1">
      <alignment horizontal="left" vertical="center" wrapText="1"/>
    </xf>
    <xf numFmtId="0" fontId="50" fillId="37" borderId="84" xfId="0" applyFont="1" applyFill="1" applyBorder="1" applyAlignment="1">
      <alignment horizontal="left" vertical="center" wrapText="1"/>
    </xf>
    <xf numFmtId="0" fontId="48" fillId="0" borderId="159" xfId="0" applyFont="1" applyBorder="1" applyAlignment="1">
      <alignment horizontal="left" vertical="center" wrapText="1"/>
    </xf>
    <xf numFmtId="0" fontId="50" fillId="2" borderId="47" xfId="0" applyFont="1" applyFill="1" applyBorder="1" applyAlignment="1">
      <alignment horizontal="left" vertical="center" wrapText="1"/>
    </xf>
    <xf numFmtId="0" fontId="50" fillId="2" borderId="85" xfId="0" applyFont="1" applyFill="1" applyBorder="1" applyAlignment="1">
      <alignment horizontal="left" vertical="center" wrapText="1"/>
    </xf>
    <xf numFmtId="0" fontId="50" fillId="2" borderId="84" xfId="0" applyFont="1" applyFill="1" applyBorder="1" applyAlignment="1">
      <alignment horizontal="left" vertical="center" wrapText="1"/>
    </xf>
    <xf numFmtId="9" fontId="50" fillId="2" borderId="163" xfId="1" applyFont="1" applyFill="1" applyBorder="1" applyAlignment="1" applyProtection="1">
      <alignment horizontal="center" vertical="center"/>
    </xf>
    <xf numFmtId="9" fontId="50" fillId="2" borderId="85" xfId="1" applyFont="1" applyFill="1" applyBorder="1" applyAlignment="1" applyProtection="1">
      <alignment horizontal="center" vertical="center"/>
    </xf>
    <xf numFmtId="9" fontId="50" fillId="2" borderId="84" xfId="1" applyFont="1" applyFill="1" applyBorder="1" applyAlignment="1" applyProtection="1">
      <alignment horizontal="center" vertical="center"/>
    </xf>
    <xf numFmtId="0" fontId="51" fillId="0" borderId="51" xfId="7" applyFont="1" applyBorder="1" applyAlignment="1">
      <alignment horizontal="center" vertical="center" wrapText="1"/>
    </xf>
    <xf numFmtId="0" fontId="51" fillId="0" borderId="108" xfId="7" applyFont="1" applyBorder="1" applyAlignment="1">
      <alignment horizontal="center" vertical="center" wrapText="1"/>
    </xf>
    <xf numFmtId="0" fontId="51" fillId="0" borderId="162" xfId="7" applyFont="1" applyBorder="1" applyAlignment="1">
      <alignment horizontal="center" vertical="center" wrapText="1"/>
    </xf>
    <xf numFmtId="0" fontId="54" fillId="0" borderId="52" xfId="7" applyFont="1" applyBorder="1" applyAlignment="1">
      <alignment horizontal="center" vertical="center" wrapText="1"/>
    </xf>
    <xf numFmtId="0" fontId="54" fillId="0" borderId="90" xfId="7" applyFont="1" applyBorder="1" applyAlignment="1">
      <alignment horizontal="center" vertical="center" wrapText="1"/>
    </xf>
    <xf numFmtId="0" fontId="54" fillId="0" borderId="161" xfId="7" applyFont="1" applyBorder="1" applyAlignment="1">
      <alignment horizontal="center" vertical="center" wrapText="1"/>
    </xf>
    <xf numFmtId="0" fontId="21" fillId="0" borderId="157" xfId="0" applyFont="1" applyBorder="1" applyAlignment="1">
      <alignment horizontal="center" vertical="center" wrapText="1"/>
    </xf>
    <xf numFmtId="0" fontId="21" fillId="0" borderId="158" xfId="0" applyFont="1" applyBorder="1" applyAlignment="1">
      <alignment horizontal="center" vertical="center" wrapText="1"/>
    </xf>
    <xf numFmtId="0" fontId="45" fillId="36" borderId="0" xfId="0" applyFont="1" applyFill="1" applyAlignment="1">
      <alignment vertical="center" wrapText="1"/>
    </xf>
    <xf numFmtId="0" fontId="45" fillId="36" borderId="0" xfId="0" applyFont="1" applyFill="1" applyAlignment="1">
      <alignment horizontal="center" vertical="center" wrapText="1"/>
    </xf>
    <xf numFmtId="0" fontId="21" fillId="36" borderId="0" xfId="0" applyFont="1" applyFill="1" applyAlignment="1">
      <alignment horizontal="center" vertical="center" wrapText="1"/>
    </xf>
    <xf numFmtId="3" fontId="21" fillId="36" borderId="0" xfId="0" applyNumberFormat="1" applyFont="1" applyFill="1" applyAlignment="1">
      <alignment horizontal="center" vertical="center" wrapText="1"/>
    </xf>
    <xf numFmtId="0" fontId="2" fillId="4" borderId="12" xfId="0" applyFont="1" applyFill="1" applyBorder="1" applyAlignment="1">
      <alignment horizontal="left"/>
    </xf>
    <xf numFmtId="0" fontId="2" fillId="4" borderId="29" xfId="0" applyFont="1" applyFill="1" applyBorder="1" applyAlignment="1">
      <alignment horizontal="left"/>
    </xf>
    <xf numFmtId="0" fontId="2" fillId="4" borderId="12" xfId="0" applyFont="1" applyFill="1" applyBorder="1" applyAlignment="1">
      <alignment horizontal="left" vertical="top"/>
    </xf>
    <xf numFmtId="0" fontId="6" fillId="2" borderId="0" xfId="0" applyFont="1" applyFill="1" applyBorder="1" applyAlignment="1">
      <alignment horizontal="left" vertical="top" wrapText="1"/>
    </xf>
    <xf numFmtId="0" fontId="2" fillId="4" borderId="33" xfId="0" applyFont="1" applyFill="1" applyBorder="1" applyAlignment="1">
      <alignment horizontal="center"/>
    </xf>
    <xf numFmtId="0" fontId="2" fillId="4" borderId="0" xfId="0" applyFont="1" applyFill="1" applyBorder="1" applyAlignment="1">
      <alignment horizontal="center"/>
    </xf>
    <xf numFmtId="0" fontId="6" fillId="2" borderId="23" xfId="0" applyNumberFormat="1" applyFont="1" applyFill="1" applyBorder="1" applyAlignment="1" applyProtection="1">
      <alignment horizontal="left" vertical="top"/>
    </xf>
    <xf numFmtId="0" fontId="6" fillId="2" borderId="0" xfId="0" applyNumberFormat="1" applyFont="1" applyFill="1" applyBorder="1" applyAlignment="1" applyProtection="1">
      <alignment horizontal="left" vertical="top"/>
    </xf>
    <xf numFmtId="0" fontId="38" fillId="32" borderId="12" xfId="0" applyFont="1" applyFill="1" applyBorder="1" applyAlignment="1">
      <alignment horizontal="left" vertical="top"/>
    </xf>
    <xf numFmtId="0" fontId="18" fillId="0" borderId="89" xfId="7" applyBorder="1" applyAlignment="1">
      <alignment horizontal="center"/>
    </xf>
    <xf numFmtId="0" fontId="18" fillId="0" borderId="88" xfId="7" applyBorder="1" applyAlignment="1">
      <alignment horizontal="center"/>
    </xf>
    <xf numFmtId="1" fontId="18" fillId="7" borderId="88" xfId="7" applyNumberFormat="1" applyFill="1" applyBorder="1" applyAlignment="1">
      <alignment horizontal="center"/>
    </xf>
    <xf numFmtId="1" fontId="18" fillId="7" borderId="87" xfId="7" applyNumberFormat="1" applyFill="1" applyBorder="1" applyAlignment="1">
      <alignment horizontal="center"/>
    </xf>
    <xf numFmtId="1" fontId="18" fillId="0" borderId="0" xfId="7" applyNumberFormat="1" applyAlignment="1">
      <alignment horizontal="center"/>
    </xf>
    <xf numFmtId="0" fontId="6" fillId="2" borderId="0" xfId="0" applyFont="1" applyFill="1" applyAlignment="1">
      <alignment horizontal="left" vertical="top" wrapText="1"/>
    </xf>
    <xf numFmtId="0" fontId="11" fillId="25" borderId="103" xfId="7" applyFont="1" applyFill="1" applyBorder="1" applyAlignment="1">
      <alignment horizontal="center" vertical="center" textRotation="90"/>
    </xf>
    <xf numFmtId="0" fontId="11" fillId="25" borderId="101" xfId="7" applyFont="1" applyFill="1" applyBorder="1" applyAlignment="1">
      <alignment horizontal="center" vertical="center" textRotation="90"/>
    </xf>
    <xf numFmtId="0" fontId="11" fillId="25" borderId="98" xfId="7" applyFont="1" applyFill="1" applyBorder="1" applyAlignment="1">
      <alignment horizontal="center" vertical="center" textRotation="90"/>
    </xf>
    <xf numFmtId="0" fontId="26" fillId="25" borderId="54" xfId="7" applyFont="1" applyFill="1" applyBorder="1" applyAlignment="1">
      <alignment horizontal="left" indent="1"/>
    </xf>
    <xf numFmtId="0" fontId="26" fillId="25" borderId="102" xfId="7" applyFont="1" applyFill="1" applyBorder="1" applyAlignment="1">
      <alignment horizontal="left" indent="1"/>
    </xf>
    <xf numFmtId="0" fontId="25" fillId="25" borderId="57" xfId="7" applyFont="1" applyFill="1" applyBorder="1" applyAlignment="1">
      <alignment horizontal="left" indent="1"/>
    </xf>
    <xf numFmtId="0" fontId="25" fillId="25" borderId="49" xfId="7" applyFont="1" applyFill="1" applyBorder="1" applyAlignment="1">
      <alignment horizontal="left" indent="1"/>
    </xf>
    <xf numFmtId="0" fontId="24" fillId="25" borderId="57" xfId="7" applyFont="1" applyFill="1" applyBorder="1" applyAlignment="1">
      <alignment horizontal="left" indent="1"/>
    </xf>
    <xf numFmtId="0" fontId="24" fillId="25" borderId="49" xfId="7" applyFont="1" applyFill="1" applyBorder="1" applyAlignment="1">
      <alignment horizontal="left" indent="1"/>
    </xf>
    <xf numFmtId="0" fontId="22" fillId="25" borderId="59" xfId="7" applyFont="1" applyFill="1" applyBorder="1" applyAlignment="1">
      <alignment horizontal="left" indent="1"/>
    </xf>
    <xf numFmtId="0" fontId="22" fillId="25" borderId="97" xfId="7" applyFont="1" applyFill="1" applyBorder="1" applyAlignment="1">
      <alignment horizontal="left" indent="1"/>
    </xf>
    <xf numFmtId="0" fontId="11" fillId="25" borderId="89" xfId="7" applyFont="1" applyFill="1" applyBorder="1" applyAlignment="1">
      <alignment horizontal="left"/>
    </xf>
    <xf numFmtId="0" fontId="11" fillId="25" borderId="106" xfId="7" applyFont="1" applyFill="1" applyBorder="1" applyAlignment="1">
      <alignment horizontal="left"/>
    </xf>
    <xf numFmtId="0" fontId="11" fillId="25" borderId="47" xfId="7" applyFont="1" applyFill="1" applyBorder="1" applyAlignment="1">
      <alignment horizontal="center"/>
    </xf>
    <xf numFmtId="0" fontId="11" fillId="25" borderId="84" xfId="7" applyFont="1" applyFill="1" applyBorder="1" applyAlignment="1">
      <alignment horizontal="center"/>
    </xf>
    <xf numFmtId="0" fontId="11" fillId="25" borderId="85" xfId="7" applyFont="1" applyFill="1" applyBorder="1" applyAlignment="1">
      <alignment horizontal="center"/>
    </xf>
    <xf numFmtId="0" fontId="18" fillId="0" borderId="86" xfId="7" applyBorder="1" applyAlignment="1">
      <alignment horizontal="center" wrapText="1"/>
    </xf>
    <xf numFmtId="171" fontId="18" fillId="0" borderId="86" xfId="7" applyNumberFormat="1" applyBorder="1" applyAlignment="1">
      <alignment horizontal="center"/>
    </xf>
    <xf numFmtId="0" fontId="10" fillId="0" borderId="0" xfId="7" applyFont="1" applyAlignment="1">
      <alignment vertical="center"/>
    </xf>
    <xf numFmtId="0" fontId="18" fillId="0" borderId="0" xfId="7" applyAlignment="1">
      <alignment vertical="center"/>
    </xf>
    <xf numFmtId="0" fontId="10" fillId="0" borderId="86" xfId="7" applyFont="1" applyBorder="1" applyAlignment="1">
      <alignment horizontal="center" wrapText="1"/>
    </xf>
    <xf numFmtId="0" fontId="18" fillId="0" borderId="89" xfId="7" applyFill="1" applyBorder="1" applyAlignment="1">
      <alignment horizontal="center"/>
    </xf>
    <xf numFmtId="0" fontId="18" fillId="0" borderId="88" xfId="7" applyFill="1" applyBorder="1" applyAlignment="1">
      <alignment horizontal="center"/>
    </xf>
    <xf numFmtId="0" fontId="10" fillId="11" borderId="0" xfId="7" applyFont="1" applyFill="1" applyAlignment="1">
      <alignment vertical="center"/>
    </xf>
    <xf numFmtId="0" fontId="18" fillId="11" borderId="0" xfId="7" applyFill="1" applyAlignment="1">
      <alignment vertical="center"/>
    </xf>
    <xf numFmtId="0" fontId="18" fillId="0" borderId="83" xfId="7" applyBorder="1" applyAlignment="1">
      <alignment horizontal="center" wrapText="1"/>
    </xf>
    <xf numFmtId="171" fontId="18" fillId="0" borderId="83" xfId="7" applyNumberFormat="1" applyBorder="1" applyAlignment="1">
      <alignment horizontal="center"/>
    </xf>
    <xf numFmtId="0" fontId="11" fillId="25" borderId="57" xfId="7" applyFont="1" applyFill="1" applyBorder="1" applyAlignment="1">
      <alignment horizontal="left" vertical="center"/>
    </xf>
    <xf numFmtId="171" fontId="6" fillId="6" borderId="111" xfId="7" applyNumberFormat="1" applyFont="1" applyFill="1" applyBorder="1" applyAlignment="1">
      <alignment horizontal="center" vertical="center"/>
    </xf>
    <xf numFmtId="0" fontId="11" fillId="25" borderId="59" xfId="7" applyFont="1" applyFill="1" applyBorder="1" applyAlignment="1">
      <alignment horizontal="left" vertical="center"/>
    </xf>
    <xf numFmtId="171" fontId="6" fillId="6" borderId="109" xfId="7" applyNumberFormat="1" applyFont="1" applyFill="1" applyBorder="1" applyAlignment="1">
      <alignment horizontal="center" vertical="center"/>
    </xf>
    <xf numFmtId="0" fontId="11" fillId="25" borderId="89" xfId="7" applyFont="1" applyFill="1" applyBorder="1" applyAlignment="1">
      <alignment horizontal="center"/>
    </xf>
    <xf numFmtId="0" fontId="11" fillId="25" borderId="87" xfId="7" applyFont="1" applyFill="1" applyBorder="1" applyAlignment="1">
      <alignment horizontal="center"/>
    </xf>
    <xf numFmtId="0" fontId="11" fillId="25" borderId="88" xfId="7" applyFont="1" applyFill="1" applyBorder="1" applyAlignment="1">
      <alignment horizontal="center"/>
    </xf>
    <xf numFmtId="0" fontId="6" fillId="25" borderId="89" xfId="7" applyFont="1" applyFill="1" applyBorder="1" applyAlignment="1">
      <alignment horizontal="center"/>
    </xf>
    <xf numFmtId="0" fontId="6" fillId="25" borderId="87" xfId="7" applyFont="1" applyFill="1" applyBorder="1" applyAlignment="1">
      <alignment horizontal="center"/>
    </xf>
    <xf numFmtId="1" fontId="6" fillId="25" borderId="47" xfId="7" applyNumberFormat="1" applyFont="1" applyFill="1" applyBorder="1" applyAlignment="1">
      <alignment horizontal="center"/>
    </xf>
    <xf numFmtId="0" fontId="18" fillId="0" borderId="84" xfId="7" applyBorder="1"/>
    <xf numFmtId="1" fontId="6" fillId="25" borderId="84" xfId="7" applyNumberFormat="1" applyFont="1" applyFill="1" applyBorder="1" applyAlignment="1">
      <alignment horizontal="center"/>
    </xf>
    <xf numFmtId="0" fontId="6" fillId="25" borderId="84" xfId="7" applyFont="1" applyFill="1" applyBorder="1"/>
    <xf numFmtId="9" fontId="6" fillId="14" borderId="111" xfId="9" applyFont="1" applyFill="1" applyBorder="1" applyAlignment="1">
      <alignment horizontal="center" vertical="center"/>
    </xf>
    <xf numFmtId="171" fontId="27" fillId="25" borderId="58" xfId="7" applyNumberFormat="1" applyFont="1" applyFill="1" applyBorder="1" applyAlignment="1">
      <alignment horizontal="center" vertical="center"/>
    </xf>
    <xf numFmtId="9" fontId="6" fillId="14" borderId="113" xfId="9" applyFont="1" applyFill="1" applyBorder="1" applyAlignment="1">
      <alignment horizontal="center" vertical="center"/>
    </xf>
    <xf numFmtId="9" fontId="6" fillId="14" borderId="112" xfId="9" applyFont="1" applyFill="1" applyBorder="1" applyAlignment="1">
      <alignment horizontal="center" vertical="center"/>
    </xf>
    <xf numFmtId="9" fontId="6" fillId="14" borderId="114" xfId="9" applyFont="1" applyFill="1" applyBorder="1" applyAlignment="1">
      <alignment horizontal="center" vertical="center"/>
    </xf>
    <xf numFmtId="171" fontId="6" fillId="6" borderId="113" xfId="7" applyNumberFormat="1" applyFont="1" applyFill="1" applyBorder="1" applyAlignment="1">
      <alignment horizontal="center" vertical="center"/>
    </xf>
    <xf numFmtId="171" fontId="6" fillId="6" borderId="112" xfId="7" applyNumberFormat="1" applyFont="1" applyFill="1" applyBorder="1" applyAlignment="1">
      <alignment horizontal="center" vertical="center"/>
    </xf>
    <xf numFmtId="171" fontId="6" fillId="6" borderId="114" xfId="7" applyNumberFormat="1" applyFont="1" applyFill="1" applyBorder="1" applyAlignment="1">
      <alignment horizontal="center" vertical="center"/>
    </xf>
    <xf numFmtId="0" fontId="18" fillId="0" borderId="48" xfId="7" applyBorder="1" applyAlignment="1">
      <alignment horizontal="center" wrapText="1"/>
    </xf>
    <xf numFmtId="171" fontId="18" fillId="0" borderId="48" xfId="7" applyNumberFormat="1" applyBorder="1" applyAlignment="1">
      <alignment horizontal="center"/>
    </xf>
    <xf numFmtId="0" fontId="18" fillId="0" borderId="48" xfId="7" applyBorder="1" applyAlignment="1">
      <alignment horizontal="center"/>
    </xf>
    <xf numFmtId="2" fontId="18" fillId="0" borderId="48" xfId="7" applyNumberFormat="1" applyBorder="1" applyAlignment="1">
      <alignment horizontal="center"/>
    </xf>
    <xf numFmtId="0" fontId="18" fillId="0" borderId="86" xfId="7" applyBorder="1" applyAlignment="1">
      <alignment horizontal="center"/>
    </xf>
    <xf numFmtId="2" fontId="18" fillId="0" borderId="86" xfId="7" applyNumberFormat="1" applyBorder="1" applyAlignment="1">
      <alignment horizontal="center"/>
    </xf>
    <xf numFmtId="0" fontId="18" fillId="0" borderId="81" xfId="7" applyBorder="1" applyAlignment="1">
      <alignment horizontal="center"/>
    </xf>
    <xf numFmtId="0" fontId="18" fillId="0" borderId="92" xfId="7" applyBorder="1" applyAlignment="1">
      <alignment horizontal="center"/>
    </xf>
    <xf numFmtId="0" fontId="18" fillId="0" borderId="82" xfId="7" applyBorder="1" applyAlignment="1">
      <alignment horizontal="center"/>
    </xf>
    <xf numFmtId="0" fontId="18" fillId="0" borderId="78" xfId="7" applyBorder="1" applyAlignment="1">
      <alignment horizontal="center"/>
    </xf>
    <xf numFmtId="0" fontId="18" fillId="0" borderId="91" xfId="7" applyBorder="1" applyAlignment="1">
      <alignment horizontal="center"/>
    </xf>
    <xf numFmtId="0" fontId="18" fillId="0" borderId="79" xfId="7" applyBorder="1" applyAlignment="1">
      <alignment horizontal="center"/>
    </xf>
    <xf numFmtId="1" fontId="11" fillId="0" borderId="89" xfId="7" applyNumberFormat="1" applyFont="1" applyBorder="1" applyAlignment="1">
      <alignment horizontal="center"/>
    </xf>
    <xf numFmtId="1" fontId="11" fillId="0" borderId="87" xfId="7" applyNumberFormat="1" applyFont="1" applyBorder="1" applyAlignment="1">
      <alignment horizontal="center"/>
    </xf>
    <xf numFmtId="1" fontId="11" fillId="0" borderId="47" xfId="7" applyNumberFormat="1" applyFont="1" applyBorder="1" applyAlignment="1">
      <alignment horizontal="center"/>
    </xf>
    <xf numFmtId="1" fontId="11" fillId="0" borderId="85" xfId="7" applyNumberFormat="1" applyFont="1" applyBorder="1" applyAlignment="1">
      <alignment horizontal="center"/>
    </xf>
    <xf numFmtId="1" fontId="11" fillId="0" borderId="84" xfId="7" applyNumberFormat="1" applyFont="1" applyBorder="1" applyAlignment="1">
      <alignment horizontal="center"/>
    </xf>
    <xf numFmtId="1" fontId="11" fillId="0" borderId="88" xfId="7" applyNumberFormat="1" applyFont="1" applyBorder="1" applyAlignment="1">
      <alignment horizontal="center"/>
    </xf>
    <xf numFmtId="2" fontId="11" fillId="0" borderId="51" xfId="7" applyNumberFormat="1" applyFont="1" applyBorder="1" applyAlignment="1">
      <alignment horizontal="center"/>
    </xf>
    <xf numFmtId="2" fontId="11" fillId="0" borderId="53" xfId="7" applyNumberFormat="1" applyFont="1" applyBorder="1" applyAlignment="1">
      <alignment horizontal="center"/>
    </xf>
    <xf numFmtId="2" fontId="11" fillId="0" borderId="47" xfId="7" applyNumberFormat="1" applyFont="1" applyBorder="1" applyAlignment="1">
      <alignment horizontal="center"/>
    </xf>
    <xf numFmtId="2" fontId="11" fillId="0" borderId="85" xfId="7" applyNumberFormat="1" applyFont="1" applyBorder="1" applyAlignment="1">
      <alignment horizontal="center"/>
    </xf>
    <xf numFmtId="2" fontId="11" fillId="0" borderId="84" xfId="7" applyNumberFormat="1" applyFont="1" applyBorder="1" applyAlignment="1">
      <alignment horizontal="center"/>
    </xf>
    <xf numFmtId="2" fontId="11" fillId="0" borderId="89" xfId="7" applyNumberFormat="1" applyFont="1" applyBorder="1" applyAlignment="1">
      <alignment horizontal="center"/>
    </xf>
    <xf numFmtId="2" fontId="11" fillId="0" borderId="88" xfId="7" applyNumberFormat="1" applyFont="1" applyBorder="1" applyAlignment="1">
      <alignment horizontal="center"/>
    </xf>
    <xf numFmtId="0" fontId="11" fillId="0" borderId="95" xfId="7" applyFont="1" applyBorder="1" applyAlignment="1">
      <alignment horizontal="left"/>
    </xf>
    <xf numFmtId="0" fontId="11" fillId="0" borderId="96" xfId="7" applyFont="1" applyBorder="1" applyAlignment="1">
      <alignment horizontal="left"/>
    </xf>
    <xf numFmtId="0" fontId="11" fillId="0" borderId="47" xfId="7" applyFont="1" applyBorder="1" applyAlignment="1">
      <alignment horizontal="left"/>
    </xf>
    <xf numFmtId="0" fontId="11" fillId="0" borderId="84" xfId="7" applyFont="1" applyBorder="1" applyAlignment="1">
      <alignment horizontal="left"/>
    </xf>
    <xf numFmtId="0" fontId="11" fillId="25" borderId="108" xfId="7" applyFont="1" applyFill="1" applyBorder="1" applyAlignment="1">
      <alignment horizontal="left"/>
    </xf>
    <xf numFmtId="0" fontId="11" fillId="25" borderId="80" xfId="7" applyFont="1" applyFill="1" applyBorder="1" applyAlignment="1">
      <alignment horizontal="left"/>
    </xf>
    <xf numFmtId="1" fontId="11" fillId="25" borderId="47" xfId="7" applyNumberFormat="1" applyFont="1" applyFill="1" applyBorder="1" applyAlignment="1">
      <alignment horizontal="center"/>
    </xf>
    <xf numFmtId="1" fontId="11" fillId="25" borderId="84" xfId="7" applyNumberFormat="1" applyFont="1" applyFill="1" applyBorder="1" applyAlignment="1">
      <alignment horizontal="center"/>
    </xf>
    <xf numFmtId="1" fontId="11" fillId="25" borderId="107" xfId="7" applyNumberFormat="1" applyFont="1" applyFill="1" applyBorder="1" applyAlignment="1">
      <alignment horizontal="center"/>
    </xf>
    <xf numFmtId="1" fontId="11" fillId="25" borderId="106" xfId="7" applyNumberFormat="1" applyFont="1" applyFill="1" applyBorder="1" applyAlignment="1">
      <alignment horizontal="center"/>
    </xf>
    <xf numFmtId="1" fontId="11" fillId="25" borderId="105" xfId="7" applyNumberFormat="1" applyFont="1" applyFill="1" applyBorder="1" applyAlignment="1">
      <alignment horizontal="center"/>
    </xf>
    <xf numFmtId="0" fontId="11" fillId="25" borderId="104" xfId="7" applyFont="1" applyFill="1" applyBorder="1"/>
    <xf numFmtId="9" fontId="6" fillId="14" borderId="109" xfId="9" applyFont="1" applyFill="1" applyBorder="1" applyAlignment="1">
      <alignment horizontal="center" vertical="center"/>
    </xf>
    <xf numFmtId="171" fontId="27" fillId="25" borderId="61" xfId="7" applyNumberFormat="1" applyFont="1" applyFill="1" applyBorder="1" applyAlignment="1">
      <alignment horizontal="center" vertical="center"/>
    </xf>
    <xf numFmtId="9" fontId="6" fillId="14" borderId="110" xfId="9" applyFont="1" applyFill="1" applyBorder="1" applyAlignment="1">
      <alignment horizontal="center" vertical="center"/>
    </xf>
    <xf numFmtId="171" fontId="6" fillId="6" borderId="110" xfId="7" applyNumberFormat="1" applyFont="1" applyFill="1" applyBorder="1" applyAlignment="1">
      <alignment horizontal="center" vertical="center"/>
    </xf>
    <xf numFmtId="0" fontId="6" fillId="2" borderId="0" xfId="0" applyFont="1" applyFill="1" applyBorder="1" applyAlignment="1">
      <alignment vertical="top" wrapText="1"/>
    </xf>
    <xf numFmtId="0" fontId="0" fillId="2" borderId="152" xfId="0" applyFont="1" applyFill="1" applyBorder="1" applyAlignment="1"/>
    <xf numFmtId="0" fontId="0" fillId="2" borderId="2" xfId="0" applyFont="1" applyFill="1" applyBorder="1" applyAlignment="1"/>
    <xf numFmtId="0" fontId="0" fillId="2" borderId="153" xfId="0" applyFont="1" applyFill="1" applyBorder="1" applyAlignment="1"/>
    <xf numFmtId="0" fontId="2" fillId="4" borderId="3" xfId="0" applyFont="1" applyFill="1" applyBorder="1" applyAlignment="1">
      <alignment horizontal="center"/>
    </xf>
    <xf numFmtId="0" fontId="0" fillId="2" borderId="143" xfId="0" applyFont="1" applyFill="1" applyBorder="1" applyAlignment="1"/>
    <xf numFmtId="0" fontId="0" fillId="0" borderId="48" xfId="7" applyFont="1" applyBorder="1" applyAlignment="1">
      <alignment horizontal="left"/>
    </xf>
    <xf numFmtId="0" fontId="2" fillId="7" borderId="122" xfId="7" applyFont="1" applyFill="1" applyBorder="1" applyAlignment="1">
      <alignment horizontal="right" vertical="center"/>
    </xf>
    <xf numFmtId="0" fontId="18" fillId="7" borderId="122" xfId="7" applyFill="1" applyBorder="1" applyAlignment="1">
      <alignment horizontal="right" vertical="center"/>
    </xf>
    <xf numFmtId="0" fontId="18" fillId="0" borderId="127" xfId="7" applyBorder="1" applyAlignment="1">
      <alignment vertical="center" wrapText="1"/>
    </xf>
    <xf numFmtId="0" fontId="18" fillId="0" borderId="132" xfId="7" applyBorder="1" applyAlignment="1">
      <alignment vertical="center" wrapText="1"/>
    </xf>
    <xf numFmtId="0" fontId="2" fillId="11" borderId="86" xfId="7" applyFont="1" applyFill="1" applyBorder="1" applyAlignment="1">
      <alignment horizontal="center" vertical="center"/>
    </xf>
    <xf numFmtId="0" fontId="2" fillId="11" borderId="90" xfId="7" applyFont="1" applyFill="1" applyBorder="1" applyAlignment="1">
      <alignment horizontal="center" vertical="center"/>
    </xf>
    <xf numFmtId="0" fontId="2" fillId="11" borderId="83" xfId="7" applyFont="1" applyFill="1" applyBorder="1" applyAlignment="1">
      <alignment horizontal="center" vertical="center"/>
    </xf>
    <xf numFmtId="0" fontId="18" fillId="0" borderId="48" xfId="7" applyBorder="1" applyAlignment="1">
      <alignment vertical="center"/>
    </xf>
    <xf numFmtId="0" fontId="18" fillId="0" borderId="131" xfId="7" applyBorder="1" applyAlignment="1">
      <alignment vertical="center"/>
    </xf>
    <xf numFmtId="0" fontId="18" fillId="0" borderId="50" xfId="7" applyBorder="1"/>
    <xf numFmtId="0" fontId="18" fillId="0" borderId="125" xfId="7" applyBorder="1" applyAlignment="1">
      <alignment vertical="center"/>
    </xf>
    <xf numFmtId="0" fontId="18" fillId="0" borderId="48" xfId="7" applyBorder="1"/>
    <xf numFmtId="0" fontId="2" fillId="0" borderId="125" xfId="7" applyFont="1" applyBorder="1" applyAlignment="1">
      <alignment vertical="center"/>
    </xf>
    <xf numFmtId="0" fontId="2" fillId="0" borderId="48" xfId="7" applyFont="1" applyBorder="1" applyAlignment="1">
      <alignment vertical="center"/>
    </xf>
    <xf numFmtId="0" fontId="2" fillId="0" borderId="135" xfId="7" applyFont="1" applyBorder="1" applyAlignment="1">
      <alignment vertical="center"/>
    </xf>
    <xf numFmtId="0" fontId="2" fillId="0" borderId="134" xfId="7" applyFont="1" applyBorder="1"/>
    <xf numFmtId="0" fontId="2" fillId="0" borderId="131" xfId="7" applyFont="1" applyBorder="1" applyAlignment="1">
      <alignment vertical="center"/>
    </xf>
    <xf numFmtId="0" fontId="2" fillId="0" borderId="50" xfId="7" applyFont="1" applyBorder="1"/>
    <xf numFmtId="0" fontId="2" fillId="0" borderId="127" xfId="7" applyFont="1" applyBorder="1" applyAlignment="1">
      <alignment vertical="center"/>
    </xf>
    <xf numFmtId="0" fontId="2" fillId="0" borderId="132" xfId="7" applyFont="1" applyBorder="1" applyAlignment="1">
      <alignment vertical="center"/>
    </xf>
    <xf numFmtId="0" fontId="18" fillId="0" borderId="123" xfId="7" applyBorder="1" applyAlignment="1">
      <alignment vertical="center"/>
    </xf>
    <xf numFmtId="0" fontId="18" fillId="0" borderId="122" xfId="7" applyBorder="1"/>
    <xf numFmtId="0" fontId="18" fillId="0" borderId="130" xfId="7" applyBorder="1" applyAlignment="1">
      <alignment vertical="center"/>
    </xf>
    <xf numFmtId="0" fontId="18" fillId="0" borderId="129" xfId="7" applyBorder="1"/>
    <xf numFmtId="0" fontId="2" fillId="18" borderId="64" xfId="7" applyFont="1" applyFill="1" applyBorder="1" applyAlignment="1">
      <alignment horizontal="center" vertical="center" wrapText="1"/>
    </xf>
    <xf numFmtId="0" fontId="2" fillId="18" borderId="63" xfId="7" applyFont="1" applyFill="1" applyBorder="1" applyAlignment="1">
      <alignment horizontal="center" vertical="center" wrapText="1"/>
    </xf>
    <xf numFmtId="0" fontId="2" fillId="7" borderId="49" xfId="7" applyFont="1" applyFill="1" applyBorder="1" applyAlignment="1">
      <alignment horizontal="center" vertical="center" wrapText="1"/>
    </xf>
    <xf numFmtId="0" fontId="2" fillId="7" borderId="50" xfId="7" applyFont="1" applyFill="1" applyBorder="1" applyAlignment="1">
      <alignment horizontal="center" vertical="center" wrapText="1"/>
    </xf>
    <xf numFmtId="4" fontId="11" fillId="18" borderId="64" xfId="7" applyNumberFormat="1" applyFont="1" applyFill="1" applyBorder="1" applyAlignment="1">
      <alignment horizontal="center" vertical="center"/>
    </xf>
    <xf numFmtId="0" fontId="18" fillId="18" borderId="63" xfId="7" applyFill="1" applyBorder="1" applyAlignment="1">
      <alignment horizontal="center" vertical="center"/>
    </xf>
    <xf numFmtId="0" fontId="2" fillId="18" borderId="64" xfId="7" applyFont="1" applyFill="1" applyBorder="1" applyAlignment="1">
      <alignment horizontal="center" vertical="center"/>
    </xf>
    <xf numFmtId="0" fontId="2" fillId="18" borderId="63" xfId="7" applyFont="1" applyFill="1" applyBorder="1" applyAlignment="1">
      <alignment horizontal="center" vertical="center"/>
    </xf>
    <xf numFmtId="4" fontId="11" fillId="18" borderId="63" xfId="7" applyNumberFormat="1" applyFont="1" applyFill="1" applyBorder="1" applyAlignment="1">
      <alignment horizontal="center" vertical="center"/>
    </xf>
    <xf numFmtId="4" fontId="11" fillId="18" borderId="70" xfId="7" applyNumberFormat="1" applyFont="1" applyFill="1" applyBorder="1" applyAlignment="1">
      <alignment horizontal="center" vertical="center"/>
    </xf>
    <xf numFmtId="4" fontId="11" fillId="18" borderId="72" xfId="7" applyNumberFormat="1" applyFont="1" applyFill="1" applyBorder="1" applyAlignment="1">
      <alignment horizontal="center" vertical="center"/>
    </xf>
    <xf numFmtId="0" fontId="18" fillId="18" borderId="77" xfId="7" applyFill="1" applyBorder="1" applyAlignment="1"/>
    <xf numFmtId="0" fontId="2" fillId="18" borderId="69" xfId="7" applyFont="1" applyFill="1" applyBorder="1" applyAlignment="1">
      <alignment horizontal="center" vertical="center"/>
    </xf>
    <xf numFmtId="0" fontId="2" fillId="18" borderId="65" xfId="7" applyFont="1" applyFill="1" applyBorder="1" applyAlignment="1">
      <alignment horizontal="center" vertical="center"/>
    </xf>
    <xf numFmtId="180" fontId="11" fillId="18" borderId="64" xfId="7" applyNumberFormat="1" applyFont="1" applyFill="1" applyBorder="1" applyAlignment="1">
      <alignment horizontal="center"/>
    </xf>
    <xf numFmtId="180" fontId="11" fillId="18" borderId="63" xfId="7" applyNumberFormat="1" applyFont="1" applyFill="1" applyBorder="1" applyAlignment="1">
      <alignment horizontal="center"/>
    </xf>
    <xf numFmtId="180" fontId="11" fillId="18" borderId="46" xfId="7" applyNumberFormat="1" applyFont="1" applyFill="1" applyBorder="1" applyAlignment="1">
      <alignment horizontal="center"/>
    </xf>
    <xf numFmtId="180" fontId="35" fillId="31" borderId="46" xfId="7" applyNumberFormat="1" applyFont="1" applyFill="1" applyBorder="1" applyAlignment="1"/>
    <xf numFmtId="0" fontId="18" fillId="31" borderId="46" xfId="7" applyFill="1" applyBorder="1" applyAlignment="1"/>
    <xf numFmtId="180" fontId="35" fillId="22" borderId="83" xfId="7" applyNumberFormat="1" applyFont="1" applyFill="1" applyBorder="1" applyAlignment="1"/>
    <xf numFmtId="0" fontId="18" fillId="0" borderId="83" xfId="7" applyBorder="1" applyAlignment="1"/>
    <xf numFmtId="180" fontId="11" fillId="18" borderId="64" xfId="7" applyNumberFormat="1" applyFont="1" applyFill="1" applyBorder="1" applyAlignment="1">
      <alignment horizontal="center" vertical="center"/>
    </xf>
    <xf numFmtId="0" fontId="18" fillId="0" borderId="63" xfId="7" applyBorder="1" applyAlignment="1">
      <alignment horizontal="center" vertical="center"/>
    </xf>
    <xf numFmtId="0" fontId="11" fillId="19" borderId="64" xfId="7" applyFont="1" applyFill="1" applyBorder="1" applyAlignment="1"/>
    <xf numFmtId="0" fontId="11" fillId="19" borderId="63" xfId="7" applyFont="1" applyFill="1" applyBorder="1" applyAlignment="1"/>
    <xf numFmtId="9" fontId="2" fillId="14" borderId="75" xfId="7" applyNumberFormat="1" applyFont="1" applyFill="1" applyBorder="1" applyAlignment="1">
      <alignment vertical="center" wrapText="1"/>
    </xf>
    <xf numFmtId="0" fontId="10" fillId="0" borderId="76" xfId="7" applyFont="1" applyBorder="1" applyAlignment="1">
      <alignment vertical="center" wrapText="1"/>
    </xf>
    <xf numFmtId="0" fontId="10" fillId="0" borderId="74" xfId="7" applyFont="1" applyBorder="1" applyAlignment="1">
      <alignment vertical="center" wrapText="1"/>
    </xf>
    <xf numFmtId="0" fontId="2" fillId="7" borderId="73" xfId="7" applyFont="1" applyFill="1" applyBorder="1" applyAlignment="1">
      <alignment horizontal="center" vertical="center" wrapText="1"/>
    </xf>
    <xf numFmtId="0" fontId="10" fillId="0" borderId="68" xfId="7" applyFont="1" applyBorder="1" applyAlignment="1">
      <alignment vertical="center"/>
    </xf>
    <xf numFmtId="0" fontId="10" fillId="0" borderId="67" xfId="7" applyFont="1" applyBorder="1" applyAlignment="1">
      <alignment vertical="center"/>
    </xf>
    <xf numFmtId="183" fontId="2" fillId="7" borderId="142" xfId="7" applyNumberFormat="1" applyFont="1" applyFill="1" applyBorder="1" applyAlignment="1">
      <alignment horizontal="center" vertical="center" wrapText="1"/>
    </xf>
    <xf numFmtId="0" fontId="10" fillId="0" borderId="141" xfId="7" applyFont="1" applyBorder="1" applyAlignment="1">
      <alignment vertical="center"/>
    </xf>
    <xf numFmtId="0" fontId="10" fillId="0" borderId="140" xfId="7" applyFont="1" applyBorder="1" applyAlignment="1">
      <alignment vertical="center"/>
    </xf>
  </cellXfs>
  <cellStyles count="18">
    <cellStyle name="Excel Built-in Comma" xfId="5"/>
    <cellStyle name="Excel Built-in Currency" xfId="6"/>
    <cellStyle name="Excel Built-in Normal" xfId="3"/>
    <cellStyle name="Excel Built-in Percent" xfId="4"/>
    <cellStyle name="Hipervínculo" xfId="12" builtinId="8"/>
    <cellStyle name="Millares" xfId="2" builtinId="3"/>
    <cellStyle name="Millares 2" xfId="11"/>
    <cellStyle name="Millares 2 2" xfId="13"/>
    <cellStyle name="Moneda" xfId="17" builtinId="4"/>
    <cellStyle name="Moneda 2" xfId="10"/>
    <cellStyle name="Moneda 2 2" xfId="14"/>
    <cellStyle name="Normal" xfId="0" builtinId="0"/>
    <cellStyle name="Normal 2" xfId="7"/>
    <cellStyle name="Normal 2 2" xfId="15"/>
    <cellStyle name="Normal_Anexo 1. 412R1-0002 Distribución actividades - Inlcuye controles de cambios 42 sin redondeo_V02" xfId="8"/>
    <cellStyle name="Porcentaje" xfId="1" builtinId="5"/>
    <cellStyle name="Porcentual 2" xfId="9"/>
    <cellStyle name="Porcentual 2 2" xfId="16"/>
  </cellStyles>
  <dxfs count="42">
    <dxf>
      <font>
        <color rgb="FFFF0000"/>
      </font>
      <fill>
        <patternFill patternType="none">
          <fgColor indexed="64"/>
          <bgColor auto="1"/>
        </patternFill>
      </fill>
      <border>
        <left/>
        <right/>
        <top/>
        <bottom/>
        <vertical/>
        <horizontal/>
      </border>
    </dxf>
    <dxf>
      <font>
        <color rgb="FF73F173"/>
      </font>
    </dxf>
    <dxf>
      <font>
        <color rgb="FFFF0000"/>
      </font>
      <fill>
        <patternFill patternType="none">
          <fgColor indexed="64"/>
          <bgColor auto="1"/>
        </patternFill>
      </fill>
      <border>
        <left/>
        <right/>
        <top/>
        <bottom/>
        <vertical/>
        <horizontal/>
      </border>
    </dxf>
    <dxf>
      <font>
        <color rgb="FF73F173"/>
      </font>
    </dxf>
    <dxf>
      <font>
        <b val="0"/>
        <i val="0"/>
        <strike val="0"/>
        <condense val="0"/>
        <extend val="0"/>
        <outline val="0"/>
        <shadow val="0"/>
        <u val="none"/>
        <vertAlign val="baseline"/>
        <sz val="10"/>
        <color auto="1"/>
        <name val="Calibri"/>
        <scheme val="minor"/>
      </font>
      <numFmt numFmtId="165" formatCode="_-* #,##0.00_-;\-* #,##0.00_-;_-* &quot;-&quot;??_-;_-@_-"/>
      <fill>
        <patternFill patternType="solid">
          <fgColor indexed="26"/>
          <bgColor indexed="9"/>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scheme val="minor"/>
      </font>
      <numFmt numFmtId="165" formatCode="_-* #,##0.00_-;\-* #,##0.00_-;_-* &quot;-&quot;??_-;_-@_-"/>
      <fill>
        <patternFill patternType="solid">
          <fgColor indexed="26"/>
          <bgColor indexed="9"/>
        </patternFill>
      </fill>
      <alignment horizontal="general"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Calibri"/>
        <scheme val="minor"/>
      </font>
      <numFmt numFmtId="0" formatCode="General"/>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Calibri"/>
        <scheme val="minor"/>
      </font>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outline="0">
        <left style="medium">
          <color indexed="64"/>
        </left>
        <right style="thin">
          <color indexed="64"/>
        </right>
        <top/>
        <bottom/>
      </border>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strike val="0"/>
        <outline val="0"/>
        <shadow val="0"/>
        <u val="none"/>
        <vertAlign val="baseline"/>
        <sz val="10"/>
        <color auto="1"/>
        <name val="Calibri"/>
        <scheme val="minor"/>
      </font>
      <border diagonalUp="0" diagonalDown="0" outline="0">
        <left style="thin">
          <color indexed="64"/>
        </left>
        <right style="thin">
          <color indexed="64"/>
        </right>
        <top/>
        <bottom/>
      </border>
    </dxf>
    <dxf>
      <numFmt numFmtId="3" formatCode="#,##0"/>
      <fill>
        <patternFill patternType="solid">
          <fgColor indexed="26"/>
          <bgColor indexed="9"/>
        </patternFill>
      </fill>
      <alignment horizontal="general" vertical="top"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3" formatCode="#,##0"/>
      <fill>
        <patternFill patternType="solid">
          <fgColor indexed="26"/>
          <bgColor indexed="9"/>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26"/>
          <bgColor indexed="9"/>
        </patternFill>
      </fill>
      <alignment horizontal="general" vertical="top"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font>
      <alignment horizontal="center" vertical="top"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scheme val="none"/>
      </font>
      <numFmt numFmtId="185" formatCode="#,##0.0"/>
      <fill>
        <patternFill patternType="solid">
          <fgColor indexed="26"/>
          <bgColor indexed="9"/>
        </patternFill>
      </fill>
      <alignment horizontal="general" vertical="top"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0"/>
        <color auto="1"/>
        <name val="Arial"/>
        <scheme val="none"/>
      </font>
      <numFmt numFmtId="4" formatCode="#,##0.00"/>
      <fill>
        <patternFill patternType="solid">
          <fgColor indexed="26"/>
          <bgColor indexed="9"/>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auto="1"/>
        <name val="Arial"/>
        <scheme val="none"/>
      </font>
      <numFmt numFmtId="30" formatCode="@"/>
      <fill>
        <patternFill patternType="solid">
          <fgColor indexed="26"/>
          <bgColor indexed="9"/>
        </patternFill>
      </fill>
      <alignment horizontal="general" vertical="top"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auto="1"/>
        <name val="Arial"/>
        <scheme val="none"/>
      </font>
      <fill>
        <patternFill patternType="solid">
          <fgColor indexed="26"/>
          <bgColor indexed="9"/>
        </patternFill>
      </fill>
      <alignment horizontal="general" vertical="top" textRotation="0" wrapText="0" indent="0" justifyLastLine="0" shrinkToFit="0" readingOrder="0"/>
    </dxf>
    <dxf>
      <font>
        <strike val="0"/>
        <outline val="0"/>
        <shadow val="0"/>
        <u val="none"/>
        <vertAlign val="baseline"/>
        <sz val="10"/>
        <color auto="1"/>
        <name val="Arial"/>
        <scheme val="none"/>
      </font>
      <fill>
        <patternFill patternType="solid">
          <fgColor indexed="26"/>
          <bgColor indexed="9"/>
        </patternFill>
      </fill>
      <alignment horizontal="general" vertical="top"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lor rgb="FFFF0000"/>
      </font>
      <fill>
        <patternFill patternType="none">
          <fgColor indexed="64"/>
          <bgColor auto="1"/>
        </patternFill>
      </fill>
      <border>
        <left/>
        <right/>
        <top/>
        <bottom/>
        <vertical/>
        <horizontal/>
      </border>
    </dxf>
    <dxf>
      <font>
        <color rgb="FF00B050"/>
      </font>
    </dxf>
    <dxf>
      <font>
        <color rgb="FFFF0000"/>
      </font>
      <fill>
        <patternFill patternType="none">
          <fgColor indexed="64"/>
          <bgColor auto="1"/>
        </patternFill>
      </fill>
      <border>
        <left/>
        <right/>
        <top/>
        <bottom/>
        <vertical/>
        <horizontal/>
      </border>
    </dxf>
    <dxf>
      <font>
        <color rgb="FF00B050"/>
      </font>
    </dxf>
    <dxf>
      <font>
        <color rgb="FFFF0000"/>
      </font>
      <fill>
        <patternFill patternType="none">
          <fgColor indexed="64"/>
          <bgColor auto="1"/>
        </patternFill>
      </fill>
      <border>
        <left/>
        <right/>
        <top/>
        <bottom/>
        <vertical/>
        <horizontal/>
      </border>
    </dxf>
    <dxf>
      <font>
        <color rgb="FF00B050"/>
      </font>
    </dxf>
    <dxf>
      <font>
        <color rgb="FFFF0000"/>
      </font>
      <fill>
        <patternFill patternType="none">
          <fgColor indexed="64"/>
          <bgColor auto="1"/>
        </patternFill>
      </fill>
      <border>
        <left/>
        <right/>
        <top/>
        <bottom/>
        <vertical/>
        <horizontal/>
      </border>
    </dxf>
    <dxf>
      <font>
        <color rgb="FF00B050"/>
      </font>
    </dxf>
    <dxf>
      <font>
        <color rgb="FFFF0000"/>
      </font>
      <fill>
        <patternFill patternType="none">
          <fgColor indexed="64"/>
          <bgColor auto="1"/>
        </patternFill>
      </fill>
      <border>
        <left/>
        <right/>
        <top/>
        <bottom/>
        <vertical/>
        <horizontal/>
      </border>
    </dxf>
    <dxf>
      <font>
        <color rgb="FF00B050"/>
      </font>
    </dxf>
    <dxf>
      <font>
        <color rgb="FFFF0000"/>
      </font>
      <fill>
        <patternFill patternType="none">
          <fgColor indexed="64"/>
          <bgColor auto="1"/>
        </patternFill>
      </fill>
      <border>
        <left/>
        <right/>
        <top/>
        <bottom/>
        <vertical/>
        <horizontal/>
      </border>
    </dxf>
    <dxf>
      <font>
        <color rgb="FF00B050"/>
      </font>
    </dxf>
    <dxf>
      <font>
        <color rgb="FFFF0000"/>
      </font>
      <fill>
        <patternFill patternType="none">
          <fgColor indexed="64"/>
          <bgColor auto="1"/>
        </patternFill>
      </fill>
      <border>
        <left/>
        <right/>
        <top/>
        <bottom/>
        <vertical/>
        <horizontal/>
      </border>
    </dxf>
    <dxf>
      <font>
        <color rgb="FF00B050"/>
      </font>
    </dxf>
  </dxfs>
  <tableStyles count="0" defaultTableStyle="TableStyleMedium9" defaultPivotStyle="PivotStyleLight16"/>
  <colors>
    <mruColors>
      <color rgb="FFFFFF99"/>
      <color rgb="FF66FF33"/>
      <color rgb="FF73F173"/>
      <color rgb="FFD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GLFS_HSH_PP_PasTGDistTiempo.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arry%20Wong/Downloads/Persepolis_Servidores_0000Pdavid.avila201611300002_WithDiscount_InternalPri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ursos Dependen del esfuerzo"/>
      <sheetName val="Hoja1"/>
    </sheetNames>
    <sheetDataSet>
      <sheetData sheetId="0">
        <row r="48">
          <cell r="Q48">
            <v>720.02319999999997</v>
          </cell>
        </row>
        <row r="49">
          <cell r="Q49">
            <v>0</v>
          </cell>
        </row>
        <row r="50">
          <cell r="Q50">
            <v>712.024</v>
          </cell>
        </row>
        <row r="52">
          <cell r="Q52">
            <v>1352.0104000000001</v>
          </cell>
        </row>
        <row r="53">
          <cell r="Q53">
            <v>296</v>
          </cell>
        </row>
        <row r="54">
          <cell r="Q54">
            <v>296</v>
          </cell>
        </row>
        <row r="55">
          <cell r="Q55">
            <v>592</v>
          </cell>
        </row>
        <row r="56">
          <cell r="Q56">
            <v>414.4</v>
          </cell>
        </row>
        <row r="57">
          <cell r="Q57">
            <v>592</v>
          </cell>
        </row>
      </sheetData>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Disclaimer"/>
      <sheetName val="Basic Information"/>
      <sheetName val="Discount"/>
      <sheetName val="Summary"/>
      <sheetName val="Statistics"/>
      <sheetName val="FIREWALL"/>
      <sheetName val="ROUTER"/>
      <sheetName val="SWITCH 48P"/>
      <sheetName val="STORAGE"/>
      <sheetName val="SERV-05"/>
      <sheetName val="SERV-04"/>
      <sheetName val="SERV-03"/>
      <sheetName val="SERV-02"/>
      <sheetName val="SERV-01"/>
    </sheetNames>
    <sheetDataSet>
      <sheetData sheetId="0" refreshError="1"/>
      <sheetData sheetId="1" refreshError="1"/>
      <sheetData sheetId="2" refreshError="1"/>
      <sheetData sheetId="3" refreshError="1"/>
      <sheetData sheetId="4" refreshError="1">
        <row r="10">
          <cell r="I10">
            <v>1375.8600000000004</v>
          </cell>
        </row>
        <row r="12">
          <cell r="I12">
            <v>450.84</v>
          </cell>
        </row>
        <row r="14">
          <cell r="I14">
            <v>1635.02</v>
          </cell>
        </row>
        <row r="17">
          <cell r="I17">
            <v>9429.2800000000007</v>
          </cell>
        </row>
        <row r="20">
          <cell r="I20">
            <v>5092.7700000000004</v>
          </cell>
        </row>
        <row r="22">
          <cell r="I22">
            <v>3798.3900000000003</v>
          </cell>
        </row>
        <row r="24">
          <cell r="I24">
            <v>3322.6500000000005</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ables/table1.xml><?xml version="1.0" encoding="utf-8"?>
<table xmlns="http://schemas.openxmlformats.org/spreadsheetml/2006/main" id="1" name="RRHH" displayName="RRHH" ref="B26:D33" totalsRowShown="0" headerRowDxfId="27" dataDxfId="26">
  <tableColumns count="3">
    <tableColumn id="1" name="Perfiles" dataDxfId="25">
      <calculatedColumnFormula>B3</calculatedColumnFormula>
    </tableColumn>
    <tableColumn id="2" name="Tiempo_x000a_(meses)" dataDxfId="24">
      <calculatedColumnFormula>F3</calculatedColumnFormula>
    </tableColumn>
    <tableColumn id="3" name="Recursos" dataDxfId="23">
      <calculatedColumnFormula>I3</calculatedColumnFormula>
    </tableColumn>
  </tableColumns>
  <tableStyleInfo showFirstColumn="0" showLastColumn="1" showRowStripes="1" showColumnStripes="1"/>
</table>
</file>

<file path=xl/tables/table2.xml><?xml version="1.0" encoding="utf-8"?>
<table xmlns="http://schemas.openxmlformats.org/spreadsheetml/2006/main" id="2" name="Tabla2" displayName="Tabla2" ref="B21:D33" totalsRowShown="0" headerRowDxfId="22" headerRowBorderDxfId="21" tableBorderDxfId="20" totalsRowBorderDxfId="19">
  <tableColumns count="3">
    <tableColumn id="1" name="Ítem" dataDxfId="18"/>
    <tableColumn id="2" name="Cantidad _x000a_(meses)" dataDxfId="17"/>
    <tableColumn id="3" name="Costo" dataDxfId="16"/>
  </tableColumns>
  <tableStyleInfo showFirstColumn="0" showLastColumn="0" showRowStripes="1" showColumnStripes="0"/>
</table>
</file>

<file path=xl/tables/table3.xml><?xml version="1.0" encoding="utf-8"?>
<table xmlns="http://schemas.openxmlformats.org/spreadsheetml/2006/main" id="3" name="Tabla3" displayName="Tabla3" ref="B102:E128" headerRowDxfId="15" totalsRowDxfId="12" headerRowBorderDxfId="14" tableBorderDxfId="13">
  <tableColumns count="4">
    <tableColumn id="1" name="Ítem" totalsRowLabel="Total" dataDxfId="11" totalsRowDxfId="10"/>
    <tableColumn id="2" name="Licencias" dataDxfId="9" totalsRowDxfId="8"/>
    <tableColumn id="3" name="Cant." dataDxfId="7" totalsRowDxfId="6" dataCellStyle="Millares"/>
    <tableColumn id="4" name="Costo prox." totalsRowFunction="sum" dataDxfId="5" totalsRowDxfId="4" dataCellStyle="Millares"/>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56"/>
  <sheetViews>
    <sheetView showGridLines="0" topLeftCell="A7" zoomScale="90" zoomScaleNormal="90" workbookViewId="0">
      <selection activeCell="K17" sqref="K17"/>
    </sheetView>
  </sheetViews>
  <sheetFormatPr baseColWidth="10" defaultRowHeight="12.75" x14ac:dyDescent="0.2"/>
  <cols>
    <col min="1" max="1" width="11.42578125" style="1"/>
    <col min="2" max="2" width="53.85546875" style="1" customWidth="1"/>
    <col min="3" max="3" width="17.7109375" style="1" customWidth="1"/>
    <col min="4" max="4" width="16" style="1" customWidth="1"/>
    <col min="5" max="5" width="8.5703125" style="1" hidden="1" customWidth="1"/>
    <col min="6" max="6" width="9.85546875" style="1" customWidth="1"/>
    <col min="7" max="7" width="17.28515625" style="1" customWidth="1"/>
    <col min="8" max="8" width="15" style="1" customWidth="1"/>
    <col min="9" max="9" width="16.5703125" style="1" bestFit="1" customWidth="1"/>
    <col min="10" max="10" width="12.85546875" style="1" bestFit="1" customWidth="1"/>
    <col min="11" max="12" width="11.42578125" style="1"/>
    <col min="13" max="13" width="12.140625" style="1" customWidth="1"/>
    <col min="14" max="16384" width="11.42578125" style="1"/>
  </cols>
  <sheetData>
    <row r="1" spans="2:13" ht="19.5" customHeight="1" x14ac:dyDescent="0.2">
      <c r="B1" s="812" t="s">
        <v>1</v>
      </c>
      <c r="C1" s="812"/>
      <c r="D1" s="812"/>
      <c r="E1" s="812"/>
      <c r="F1" s="812"/>
      <c r="G1" s="812"/>
      <c r="H1" s="812"/>
      <c r="I1" s="812"/>
      <c r="J1" s="813"/>
      <c r="K1" s="810"/>
      <c r="L1" s="811"/>
      <c r="M1" s="731"/>
    </row>
    <row r="2" spans="2:13" ht="24" customHeight="1" x14ac:dyDescent="0.2">
      <c r="B2" s="809"/>
      <c r="C2" s="809"/>
      <c r="D2" s="809"/>
      <c r="E2" s="809"/>
      <c r="F2" s="809"/>
      <c r="G2" s="809"/>
      <c r="H2" s="809"/>
      <c r="I2" s="809"/>
      <c r="J2" s="814"/>
      <c r="K2" s="811"/>
      <c r="L2" s="811"/>
    </row>
    <row r="3" spans="2:13" ht="4.5" customHeight="1" x14ac:dyDescent="0.2">
      <c r="K3" s="731"/>
      <c r="L3" s="731"/>
    </row>
    <row r="4" spans="2:13" x14ac:dyDescent="0.2">
      <c r="B4" s="815" t="s">
        <v>2</v>
      </c>
      <c r="C4" s="815"/>
      <c r="D4" s="815"/>
      <c r="E4" s="815"/>
      <c r="F4" s="815"/>
      <c r="G4" s="815"/>
      <c r="H4" s="815"/>
      <c r="I4" s="815"/>
      <c r="J4" s="815"/>
    </row>
    <row r="5" spans="2:13" ht="12.75" customHeight="1" x14ac:dyDescent="0.2">
      <c r="B5" s="807" t="s">
        <v>3</v>
      </c>
      <c r="C5" s="807"/>
      <c r="D5" s="809" t="s">
        <v>729</v>
      </c>
      <c r="E5" s="809"/>
      <c r="F5" s="809"/>
      <c r="G5" s="809"/>
      <c r="H5" s="809"/>
      <c r="I5" s="809"/>
      <c r="J5" s="809"/>
    </row>
    <row r="6" spans="2:13" ht="12.75" customHeight="1" x14ac:dyDescent="0.2">
      <c r="B6" s="807" t="s">
        <v>4</v>
      </c>
      <c r="C6" s="807"/>
      <c r="D6" s="809" t="s">
        <v>730</v>
      </c>
      <c r="E6" s="809"/>
      <c r="F6" s="809"/>
      <c r="G6" s="809"/>
      <c r="H6" s="809"/>
      <c r="I6" s="809"/>
      <c r="J6" s="809"/>
    </row>
    <row r="7" spans="2:13" ht="12.75" customHeight="1" x14ac:dyDescent="0.2">
      <c r="B7" s="807" t="s">
        <v>5</v>
      </c>
      <c r="C7" s="807"/>
      <c r="D7" s="809"/>
      <c r="E7" s="809"/>
      <c r="F7" s="809"/>
      <c r="G7" s="809"/>
      <c r="H7" s="809"/>
      <c r="I7" s="809"/>
      <c r="J7" s="809"/>
    </row>
    <row r="8" spans="2:13" ht="12.75" customHeight="1" x14ac:dyDescent="0.2">
      <c r="B8" s="807" t="s">
        <v>6</v>
      </c>
      <c r="C8" s="807"/>
      <c r="D8" s="808"/>
      <c r="E8" s="808"/>
      <c r="F8" s="808"/>
      <c r="G8" s="808"/>
      <c r="H8" s="808"/>
      <c r="I8" s="808"/>
      <c r="J8" s="808"/>
    </row>
    <row r="9" spans="2:13" ht="12.75" customHeight="1" x14ac:dyDescent="0.2">
      <c r="B9" s="807" t="s">
        <v>7</v>
      </c>
      <c r="C9" s="807"/>
      <c r="D9" s="809"/>
      <c r="E9" s="809"/>
      <c r="F9" s="809"/>
      <c r="G9" s="809"/>
      <c r="H9" s="809"/>
      <c r="I9" s="809"/>
      <c r="J9" s="809"/>
    </row>
    <row r="10" spans="2:13" ht="6" customHeight="1" thickBot="1" x14ac:dyDescent="0.25">
      <c r="D10" s="800"/>
      <c r="E10" s="800"/>
      <c r="F10" s="800"/>
      <c r="G10" s="800"/>
      <c r="H10" s="800"/>
      <c r="I10" s="800"/>
      <c r="J10" s="800"/>
    </row>
    <row r="11" spans="2:13" ht="13.5" thickBot="1" x14ac:dyDescent="0.25">
      <c r="B11" s="801" t="s">
        <v>8</v>
      </c>
      <c r="C11" s="801"/>
      <c r="D11" s="801"/>
      <c r="E11" s="801"/>
      <c r="F11" s="801"/>
      <c r="G11" s="801"/>
      <c r="H11" s="801"/>
      <c r="I11" s="801"/>
      <c r="J11" s="801"/>
    </row>
    <row r="12" spans="2:13" x14ac:dyDescent="0.2">
      <c r="B12" s="3" t="s">
        <v>9</v>
      </c>
      <c r="C12" s="2"/>
      <c r="D12" s="2"/>
      <c r="E12" s="2"/>
      <c r="F12" s="2"/>
      <c r="G12" s="2"/>
      <c r="H12" s="2"/>
      <c r="I12" s="2"/>
      <c r="J12" s="2"/>
    </row>
    <row r="13" spans="2:13" x14ac:dyDescent="0.2">
      <c r="B13" s="4" t="s">
        <v>10</v>
      </c>
      <c r="C13" s="802"/>
      <c r="D13" s="803"/>
      <c r="E13" s="4"/>
      <c r="F13" s="789" t="s">
        <v>11</v>
      </c>
      <c r="G13" s="794"/>
      <c r="H13" s="806"/>
      <c r="I13" s="805"/>
      <c r="J13" s="2"/>
    </row>
    <row r="14" spans="2:13" x14ac:dyDescent="0.2">
      <c r="B14" s="4" t="s">
        <v>12</v>
      </c>
      <c r="C14" s="804"/>
      <c r="D14" s="805"/>
      <c r="E14" s="4"/>
      <c r="F14" s="789" t="s">
        <v>13</v>
      </c>
      <c r="G14" s="794"/>
      <c r="H14" s="799"/>
      <c r="I14" s="799"/>
      <c r="J14" s="2"/>
    </row>
    <row r="15" spans="2:13" x14ac:dyDescent="0.2">
      <c r="B15" s="4" t="s">
        <v>14</v>
      </c>
      <c r="C15" s="797" t="s">
        <v>749</v>
      </c>
      <c r="D15" s="798"/>
      <c r="E15" s="7"/>
      <c r="F15" s="789" t="s">
        <v>15</v>
      </c>
      <c r="G15" s="794"/>
      <c r="H15" s="799"/>
      <c r="I15" s="799"/>
      <c r="J15" s="2"/>
    </row>
    <row r="16" spans="2:13" x14ac:dyDescent="0.2">
      <c r="B16" s="4" t="s">
        <v>16</v>
      </c>
      <c r="C16" s="790"/>
      <c r="D16" s="791"/>
      <c r="E16" s="7"/>
      <c r="F16" s="794"/>
      <c r="G16" s="794"/>
      <c r="H16" s="794"/>
      <c r="I16" s="794"/>
      <c r="J16" s="2"/>
    </row>
    <row r="17" spans="1:21" x14ac:dyDescent="0.2">
      <c r="B17" s="9" t="s">
        <v>17</v>
      </c>
      <c r="C17" s="8"/>
      <c r="D17" s="8"/>
      <c r="E17" s="8"/>
      <c r="F17" s="8"/>
      <c r="G17" s="2"/>
      <c r="H17" s="8"/>
      <c r="I17" s="8"/>
      <c r="J17" s="2"/>
    </row>
    <row r="18" spans="1:21" x14ac:dyDescent="0.2">
      <c r="B18" s="4" t="s">
        <v>18</v>
      </c>
      <c r="C18" s="6"/>
      <c r="D18" s="5"/>
      <c r="E18" s="4"/>
      <c r="F18" s="789" t="s">
        <v>19</v>
      </c>
      <c r="G18" s="789"/>
      <c r="H18" s="790" t="s">
        <v>750</v>
      </c>
      <c r="I18" s="791"/>
      <c r="J18" s="2"/>
    </row>
    <row r="19" spans="1:21" x14ac:dyDescent="0.2">
      <c r="B19" s="4" t="s">
        <v>20</v>
      </c>
      <c r="C19" s="792" t="s">
        <v>749</v>
      </c>
      <c r="D19" s="793"/>
      <c r="E19" s="4"/>
      <c r="F19" s="794"/>
      <c r="G19" s="794"/>
      <c r="H19" s="10"/>
      <c r="I19" s="11"/>
      <c r="J19" s="2"/>
    </row>
    <row r="20" spans="1:21" x14ac:dyDescent="0.2">
      <c r="B20" s="4" t="s">
        <v>21</v>
      </c>
      <c r="C20" s="702"/>
      <c r="D20" s="701"/>
      <c r="E20" s="701"/>
      <c r="F20" s="701"/>
      <c r="G20" s="701"/>
      <c r="H20" s="701"/>
      <c r="I20" s="701"/>
      <c r="J20" s="700"/>
    </row>
    <row r="21" spans="1:21" x14ac:dyDescent="0.2">
      <c r="B21" s="2"/>
      <c r="C21" s="699"/>
      <c r="D21" s="715"/>
      <c r="E21" s="715"/>
      <c r="F21" s="715"/>
      <c r="G21" s="715"/>
      <c r="H21" s="715"/>
      <c r="I21" s="715"/>
      <c r="J21" s="716"/>
    </row>
    <row r="22" spans="1:21" x14ac:dyDescent="0.2">
      <c r="B22" s="2"/>
      <c r="C22" s="137"/>
      <c r="D22" s="137"/>
      <c r="E22" s="137"/>
      <c r="F22" s="137"/>
      <c r="G22" s="137"/>
      <c r="H22" s="137"/>
      <c r="I22" s="137"/>
      <c r="J22" s="137"/>
    </row>
    <row r="23" spans="1:21" ht="13.5" thickBot="1" x14ac:dyDescent="0.25">
      <c r="B23" s="2"/>
      <c r="C23" s="137"/>
      <c r="D23" s="137"/>
      <c r="E23" s="137"/>
      <c r="F23" s="137"/>
      <c r="G23" s="137"/>
      <c r="H23" s="137"/>
      <c r="I23" s="137"/>
      <c r="J23" s="137"/>
    </row>
    <row r="24" spans="1:21" s="14" customFormat="1" ht="13.5" thickBot="1" x14ac:dyDescent="0.25">
      <c r="A24" s="703"/>
      <c r="B24" s="795" t="s">
        <v>233</v>
      </c>
      <c r="C24" s="796"/>
      <c r="D24" s="796"/>
      <c r="E24" s="555"/>
      <c r="F24" s="556"/>
      <c r="G24" s="738"/>
      <c r="H24" s="17"/>
      <c r="I24" s="17"/>
      <c r="J24" s="17"/>
      <c r="K24" s="17"/>
      <c r="L24" s="17"/>
      <c r="M24" s="17"/>
      <c r="N24" s="17"/>
      <c r="O24" s="17"/>
      <c r="P24" s="17"/>
      <c r="Q24" s="17"/>
      <c r="R24" s="17"/>
      <c r="S24" s="17"/>
      <c r="T24" s="17"/>
      <c r="U24" s="17"/>
    </row>
    <row r="25" spans="1:21" s="14" customFormat="1" x14ac:dyDescent="0.2">
      <c r="A25" s="703"/>
      <c r="B25" s="70" t="s">
        <v>152</v>
      </c>
      <c r="C25" s="504"/>
      <c r="D25" s="532" t="s">
        <v>153</v>
      </c>
      <c r="E25" s="506" t="s">
        <v>584</v>
      </c>
      <c r="F25" s="506" t="s">
        <v>586</v>
      </c>
      <c r="G25" s="17"/>
      <c r="H25" s="17"/>
      <c r="I25" s="17"/>
      <c r="J25" s="17"/>
      <c r="K25" s="17"/>
      <c r="L25" s="17"/>
      <c r="M25" s="17"/>
      <c r="N25" s="17"/>
      <c r="O25" s="17"/>
      <c r="P25" s="17"/>
      <c r="Q25" s="17"/>
      <c r="R25" s="17"/>
      <c r="S25" s="17"/>
      <c r="T25" s="17"/>
      <c r="U25" s="17"/>
    </row>
    <row r="26" spans="1:21" s="14" customFormat="1" x14ac:dyDescent="0.2">
      <c r="A26" s="703"/>
      <c r="B26" s="529" t="s">
        <v>154</v>
      </c>
      <c r="C26" s="505"/>
      <c r="D26" s="509">
        <f>+'Recursos Humanos'!Y13</f>
        <v>190797962.06618825</v>
      </c>
      <c r="E26" s="507"/>
      <c r="F26" s="507">
        <f ca="1">+D26/$D$39</f>
        <v>0.42888202861263541</v>
      </c>
      <c r="G26" s="17"/>
      <c r="H26" s="17"/>
      <c r="I26" s="17"/>
      <c r="J26" s="17"/>
      <c r="K26" s="17"/>
      <c r="L26" s="17"/>
      <c r="M26" s="17"/>
      <c r="N26" s="17"/>
      <c r="O26" s="17"/>
      <c r="P26" s="17"/>
      <c r="Q26" s="17"/>
      <c r="R26" s="17"/>
      <c r="S26" s="17"/>
      <c r="T26" s="17"/>
      <c r="U26" s="17"/>
    </row>
    <row r="27" spans="1:21" s="14" customFormat="1" x14ac:dyDescent="0.2">
      <c r="A27" s="703"/>
      <c r="B27" s="530" t="s">
        <v>234</v>
      </c>
      <c r="C27" s="505"/>
      <c r="D27" s="509">
        <f>+'Compras HW y SW '!L98</f>
        <v>103535392</v>
      </c>
      <c r="E27" s="507"/>
      <c r="F27" s="507">
        <f ca="1">+D27/$D$39</f>
        <v>0.23273031049860174</v>
      </c>
      <c r="G27" s="554"/>
      <c r="H27" s="17"/>
      <c r="I27" s="17"/>
      <c r="J27" s="17"/>
      <c r="K27" s="17"/>
      <c r="L27" s="17"/>
      <c r="M27" s="17"/>
      <c r="N27" s="17"/>
      <c r="O27" s="17"/>
      <c r="P27" s="17"/>
      <c r="Q27" s="17"/>
      <c r="R27" s="17"/>
      <c r="S27" s="17"/>
      <c r="T27" s="17"/>
      <c r="U27" s="17"/>
    </row>
    <row r="28" spans="1:21" s="14" customFormat="1" x14ac:dyDescent="0.2">
      <c r="A28" s="703"/>
      <c r="B28" s="529" t="s">
        <v>155</v>
      </c>
      <c r="C28" s="505"/>
      <c r="D28" s="509">
        <f>+'Recursos fisicos y otros'!D15</f>
        <v>37028618.759999998</v>
      </c>
      <c r="E28" s="507"/>
      <c r="F28" s="507">
        <f ca="1">+D28/$D$39</f>
        <v>8.3234165389059894E-2</v>
      </c>
      <c r="G28" s="554"/>
      <c r="H28" s="17"/>
      <c r="I28" s="17"/>
      <c r="J28" s="17"/>
      <c r="K28" s="17"/>
      <c r="L28" s="17"/>
      <c r="M28" s="17"/>
      <c r="N28" s="17"/>
      <c r="O28" s="17"/>
      <c r="P28" s="17"/>
      <c r="Q28" s="17"/>
      <c r="R28" s="17"/>
      <c r="S28" s="17"/>
      <c r="T28" s="17"/>
      <c r="U28" s="17"/>
    </row>
    <row r="29" spans="1:21" s="14" customFormat="1" ht="13.5" thickBot="1" x14ac:dyDescent="0.25">
      <c r="A29" s="703"/>
      <c r="B29" s="529" t="s">
        <v>156</v>
      </c>
      <c r="C29" s="505"/>
      <c r="D29" s="509">
        <f>+'Estimados de Viáticos'!E44</f>
        <v>0</v>
      </c>
      <c r="E29" s="507"/>
      <c r="F29" s="507">
        <f t="shared" ref="F29:F34" ca="1" si="0">+D29/$D$39</f>
        <v>0</v>
      </c>
      <c r="G29" s="17"/>
      <c r="H29" s="17"/>
      <c r="I29" s="17"/>
      <c r="J29" s="17"/>
      <c r="K29" s="17"/>
      <c r="L29" s="17"/>
      <c r="M29" s="17"/>
      <c r="N29" s="17"/>
      <c r="O29" s="17"/>
      <c r="P29" s="17"/>
      <c r="Q29" s="17"/>
      <c r="R29" s="17"/>
      <c r="S29" s="17"/>
      <c r="T29" s="17"/>
      <c r="U29" s="17"/>
    </row>
    <row r="30" spans="1:21" s="14" customFormat="1" ht="13.5" thickBot="1" x14ac:dyDescent="0.25">
      <c r="A30" s="703"/>
      <c r="B30" s="511" t="s">
        <v>585</v>
      </c>
      <c r="C30" s="512"/>
      <c r="D30" s="513">
        <f>SUM(D26:D29)</f>
        <v>331361972.82618821</v>
      </c>
      <c r="E30" s="514"/>
      <c r="F30" s="514">
        <f t="shared" ca="1" si="0"/>
        <v>0.74484650450029699</v>
      </c>
      <c r="G30" s="71"/>
      <c r="H30" s="17"/>
      <c r="I30" s="17"/>
      <c r="J30" s="17"/>
      <c r="K30" s="17"/>
      <c r="L30" s="17"/>
      <c r="M30" s="17"/>
      <c r="N30" s="17"/>
      <c r="O30" s="17"/>
      <c r="P30" s="17"/>
      <c r="Q30" s="17"/>
      <c r="R30" s="17"/>
      <c r="S30" s="17"/>
      <c r="T30" s="17"/>
      <c r="U30" s="17"/>
    </row>
    <row r="31" spans="1:21" s="14" customFormat="1" x14ac:dyDescent="0.2">
      <c r="A31" s="703"/>
      <c r="B31" s="526" t="s">
        <v>137</v>
      </c>
      <c r="C31" s="515"/>
      <c r="D31" s="516">
        <f>+Seguros!H10</f>
        <v>541224.55561610742</v>
      </c>
      <c r="E31" s="517"/>
      <c r="F31" s="517">
        <f t="shared" ca="1" si="0"/>
        <v>1.2165826240171517E-3</v>
      </c>
      <c r="G31" s="17"/>
      <c r="H31" s="17"/>
      <c r="I31" s="17"/>
      <c r="J31" s="17"/>
      <c r="K31" s="17"/>
      <c r="L31" s="17"/>
      <c r="M31" s="17"/>
      <c r="N31" s="17"/>
      <c r="O31" s="17"/>
      <c r="P31" s="17"/>
      <c r="Q31" s="17"/>
      <c r="R31" s="17"/>
      <c r="S31" s="17"/>
      <c r="T31" s="17"/>
      <c r="U31" s="17"/>
    </row>
    <row r="32" spans="1:21" s="14" customFormat="1" x14ac:dyDescent="0.2">
      <c r="A32" s="703"/>
      <c r="B32" s="527" t="s">
        <v>145</v>
      </c>
      <c r="C32" s="505"/>
      <c r="D32" s="509">
        <f ca="1">+Impuestos!E9</f>
        <v>4866908.7668613121</v>
      </c>
      <c r="E32" s="518"/>
      <c r="F32" s="518">
        <f t="shared" ca="1" si="0"/>
        <v>1.094E-2</v>
      </c>
      <c r="G32" s="17"/>
      <c r="H32" s="17"/>
      <c r="I32" s="17"/>
      <c r="J32" s="17"/>
      <c r="K32" s="17"/>
      <c r="L32" s="17"/>
      <c r="M32" s="17"/>
      <c r="N32" s="17"/>
      <c r="O32" s="17"/>
      <c r="P32" s="17"/>
      <c r="Q32" s="17"/>
      <c r="R32" s="17"/>
      <c r="S32" s="17"/>
      <c r="T32" s="17"/>
      <c r="U32" s="17"/>
    </row>
    <row r="33" spans="1:21" s="14" customFormat="1" ht="13.5" thickBot="1" x14ac:dyDescent="0.25">
      <c r="A33" s="703"/>
      <c r="B33" s="528" t="s">
        <v>24</v>
      </c>
      <c r="C33" s="519"/>
      <c r="D33" s="520">
        <f ca="1">D39*F33</f>
        <v>22243641.530444756</v>
      </c>
      <c r="E33" s="521"/>
      <c r="F33" s="521">
        <v>0.05</v>
      </c>
      <c r="G33" s="17"/>
      <c r="H33" s="17"/>
      <c r="I33" s="17"/>
      <c r="J33" s="17"/>
      <c r="K33" s="17"/>
      <c r="L33" s="17"/>
      <c r="M33" s="17"/>
      <c r="N33" s="17"/>
      <c r="O33" s="17"/>
      <c r="P33" s="17"/>
      <c r="Q33" s="17"/>
      <c r="R33" s="17"/>
      <c r="S33" s="17"/>
      <c r="T33" s="17"/>
      <c r="U33" s="17"/>
    </row>
    <row r="34" spans="1:21" s="14" customFormat="1" ht="13.5" thickBot="1" x14ac:dyDescent="0.25">
      <c r="A34" s="703"/>
      <c r="B34" s="511" t="s">
        <v>656</v>
      </c>
      <c r="C34" s="512"/>
      <c r="D34" s="513">
        <f ca="1">SUM(D31:D33)</f>
        <v>27651774.852922175</v>
      </c>
      <c r="E34" s="514"/>
      <c r="F34" s="514">
        <f t="shared" ca="1" si="0"/>
        <v>6.2156582624017159E-2</v>
      </c>
      <c r="G34" s="71"/>
      <c r="H34" s="17"/>
      <c r="I34" s="17"/>
      <c r="J34" s="17"/>
      <c r="K34" s="17"/>
      <c r="L34" s="17"/>
      <c r="M34" s="17"/>
      <c r="N34" s="17"/>
      <c r="O34" s="17"/>
      <c r="P34" s="17"/>
      <c r="Q34" s="17"/>
      <c r="R34" s="17"/>
      <c r="S34" s="17"/>
      <c r="T34" s="17"/>
      <c r="U34" s="17"/>
    </row>
    <row r="35" spans="1:21" s="14" customFormat="1" ht="13.5" thickBot="1" x14ac:dyDescent="0.25">
      <c r="A35" s="703"/>
      <c r="B35" s="530" t="s">
        <v>575</v>
      </c>
      <c r="C35" s="505"/>
      <c r="D35" s="509">
        <f>+F35*$D$26</f>
        <v>57239388.619856469</v>
      </c>
      <c r="E35" s="522"/>
      <c r="F35" s="522">
        <v>0.3</v>
      </c>
      <c r="G35" s="71"/>
      <c r="H35" s="17"/>
      <c r="I35" s="17"/>
      <c r="J35" s="17"/>
      <c r="K35" s="17"/>
      <c r="L35" s="17"/>
      <c r="M35" s="17"/>
      <c r="N35" s="17"/>
      <c r="O35" s="17"/>
      <c r="P35" s="17"/>
      <c r="Q35" s="17"/>
      <c r="R35" s="17"/>
      <c r="S35" s="17"/>
      <c r="T35" s="17"/>
      <c r="U35" s="17"/>
    </row>
    <row r="36" spans="1:21" s="14" customFormat="1" ht="13.5" thickBot="1" x14ac:dyDescent="0.25">
      <c r="A36" s="703"/>
      <c r="B36" s="511" t="s">
        <v>157</v>
      </c>
      <c r="C36" s="512"/>
      <c r="D36" s="513">
        <f ca="1">SUM(D30,D31,D32,D33,D35)</f>
        <v>416253136.29896683</v>
      </c>
      <c r="E36" s="514">
        <f>+E31+E32+E33+E37+E35+E38</f>
        <v>0</v>
      </c>
      <c r="F36" s="514">
        <f ca="1">+D36/$D$39</f>
        <v>0.93566769570810471</v>
      </c>
      <c r="G36" s="71"/>
      <c r="H36" s="17"/>
      <c r="I36" s="17"/>
      <c r="J36" s="17"/>
      <c r="K36" s="17"/>
      <c r="L36" s="17"/>
      <c r="M36" s="17"/>
      <c r="N36" s="17"/>
      <c r="O36" s="17"/>
      <c r="P36" s="17"/>
      <c r="Q36" s="17"/>
      <c r="R36" s="17"/>
      <c r="S36" s="17"/>
      <c r="T36" s="17"/>
      <c r="U36" s="17"/>
    </row>
    <row r="37" spans="1:21" s="14" customFormat="1" ht="13.5" thickBot="1" x14ac:dyDescent="0.25">
      <c r="A37" s="703"/>
      <c r="B37" s="530" t="s">
        <v>587</v>
      </c>
      <c r="C37" s="505"/>
      <c r="D37" s="509">
        <f>+F37*$D$26</f>
        <v>28619694.309928235</v>
      </c>
      <c r="E37" s="522"/>
      <c r="F37" s="522">
        <v>0.15</v>
      </c>
      <c r="G37" s="71"/>
      <c r="H37" s="17"/>
      <c r="I37" s="17"/>
      <c r="J37" s="17"/>
      <c r="K37" s="17"/>
      <c r="L37" s="17"/>
      <c r="M37" s="17"/>
      <c r="N37" s="17"/>
      <c r="O37" s="17"/>
      <c r="P37" s="17"/>
      <c r="Q37" s="17"/>
      <c r="R37" s="17"/>
      <c r="S37" s="17"/>
      <c r="T37" s="17"/>
      <c r="U37" s="17"/>
    </row>
    <row r="38" spans="1:21" s="14" customFormat="1" ht="13.5" thickBot="1" x14ac:dyDescent="0.25">
      <c r="A38" s="703"/>
      <c r="B38" s="531" t="s">
        <v>583</v>
      </c>
      <c r="C38" s="523"/>
      <c r="D38" s="524">
        <f ca="1">+D39*F38</f>
        <v>111218207.65222377</v>
      </c>
      <c r="E38" s="525"/>
      <c r="F38" s="525">
        <v>0.25</v>
      </c>
      <c r="G38" s="71"/>
      <c r="I38" s="17"/>
      <c r="J38" s="17"/>
      <c r="K38" s="17"/>
      <c r="L38" s="17"/>
      <c r="M38" s="17"/>
      <c r="N38" s="17"/>
      <c r="O38" s="17"/>
      <c r="P38" s="17"/>
      <c r="Q38" s="17"/>
      <c r="R38" s="17"/>
      <c r="S38" s="17"/>
      <c r="T38" s="17"/>
      <c r="U38" s="17"/>
    </row>
    <row r="39" spans="1:21" ht="13.5" thickBot="1" x14ac:dyDescent="0.25">
      <c r="B39" s="785" t="s">
        <v>25</v>
      </c>
      <c r="C39" s="786"/>
      <c r="D39" s="510">
        <f ca="1">+D36+D37</f>
        <v>444872830.60889506</v>
      </c>
      <c r="E39" s="508">
        <f>SUM(E30,E36,E38)</f>
        <v>0</v>
      </c>
      <c r="F39" s="508">
        <f ca="1">+D39/$D$39</f>
        <v>1</v>
      </c>
      <c r="G39" s="71"/>
      <c r="H39" s="130"/>
    </row>
    <row r="40" spans="1:21" x14ac:dyDescent="0.2">
      <c r="B40" s="540" t="s">
        <v>588</v>
      </c>
      <c r="C40" s="541"/>
      <c r="D40" s="543">
        <f>'Recursos Humanos'!K11*Horas_al_mes</f>
        <v>4974.4575999999997</v>
      </c>
      <c r="G40" s="733"/>
    </row>
    <row r="41" spans="1:21" ht="13.5" thickBot="1" x14ac:dyDescent="0.25">
      <c r="B41" s="592" t="s">
        <v>653</v>
      </c>
      <c r="C41" s="542"/>
      <c r="D41" s="593">
        <f ca="1">+D39/D40</f>
        <v>89431.424766570548</v>
      </c>
      <c r="G41" s="734"/>
      <c r="I41" s="732"/>
    </row>
    <row r="42" spans="1:21" x14ac:dyDescent="0.2">
      <c r="B42" s="86"/>
      <c r="C42" s="731"/>
      <c r="D42" s="737"/>
      <c r="G42" s="734"/>
      <c r="I42" s="732"/>
    </row>
    <row r="43" spans="1:21" ht="13.5" thickBot="1" x14ac:dyDescent="0.25">
      <c r="D43" s="130"/>
      <c r="G43" s="735"/>
      <c r="I43" s="727"/>
    </row>
    <row r="44" spans="1:21" ht="13.5" thickBot="1" x14ac:dyDescent="0.25">
      <c r="B44" s="785" t="s">
        <v>115</v>
      </c>
      <c r="C44" s="786"/>
      <c r="D44" s="533">
        <f>+'Recursos Humanos'!M14</f>
        <v>395399393.49601698</v>
      </c>
      <c r="F44" s="133"/>
      <c r="H44" s="136"/>
      <c r="I44" s="727"/>
    </row>
    <row r="45" spans="1:21" ht="13.5" thickBot="1" x14ac:dyDescent="0.25">
      <c r="B45" s="599" t="s">
        <v>655</v>
      </c>
      <c r="C45" s="600"/>
      <c r="D45" s="533">
        <f>D44/D40</f>
        <v>79485.930987936648</v>
      </c>
      <c r="F45" s="133"/>
      <c r="H45" s="136"/>
    </row>
    <row r="46" spans="1:21" ht="13.5" thickBot="1" x14ac:dyDescent="0.25">
      <c r="B46" s="787" t="str">
        <f>+'Recursos Humanos'!M2</f>
        <v>Precio de los recursos según la duración estimada del recurso en el proyecto</v>
      </c>
      <c r="C46" s="788"/>
      <c r="D46" s="736">
        <f>precioDuración</f>
        <v>333288659</v>
      </c>
      <c r="G46" s="71"/>
      <c r="H46" s="17"/>
      <c r="I46" s="17"/>
      <c r="J46" s="136"/>
    </row>
    <row r="47" spans="1:21" x14ac:dyDescent="0.2">
      <c r="G47" s="71"/>
      <c r="H47" s="17"/>
      <c r="I47" s="17"/>
    </row>
    <row r="48" spans="1:21" x14ac:dyDescent="0.2">
      <c r="G48" s="71"/>
      <c r="H48" s="17"/>
      <c r="I48" s="17"/>
    </row>
    <row r="49" spans="2:9" x14ac:dyDescent="0.2">
      <c r="B49" s="728" t="s">
        <v>751</v>
      </c>
      <c r="C49" s="728"/>
      <c r="D49" s="729">
        <f ca="1">D39</f>
        <v>444872830.60889506</v>
      </c>
      <c r="E49" s="728"/>
      <c r="F49" s="728"/>
      <c r="H49" s="597"/>
      <c r="I49" s="597"/>
    </row>
    <row r="50" spans="2:9" x14ac:dyDescent="0.2">
      <c r="B50" s="728" t="s">
        <v>25</v>
      </c>
      <c r="C50" s="728"/>
      <c r="D50" s="729">
        <f>D51*G51</f>
        <v>0</v>
      </c>
      <c r="E50" s="728"/>
      <c r="F50" s="728"/>
      <c r="H50" s="596"/>
      <c r="I50" s="596"/>
    </row>
    <row r="51" spans="2:9" x14ac:dyDescent="0.2">
      <c r="B51" s="728" t="s">
        <v>588</v>
      </c>
      <c r="C51" s="728"/>
      <c r="D51" s="729">
        <f>+G40</f>
        <v>0</v>
      </c>
      <c r="E51" s="728"/>
      <c r="F51" s="728"/>
      <c r="G51" s="730"/>
      <c r="H51" s="596"/>
      <c r="I51" s="596"/>
    </row>
    <row r="55" spans="2:9" x14ac:dyDescent="0.2">
      <c r="D55" s="3"/>
      <c r="F55" s="596"/>
      <c r="G55" s="598"/>
    </row>
    <row r="56" spans="2:9" x14ac:dyDescent="0.2">
      <c r="F56" s="596"/>
      <c r="G56" s="598"/>
    </row>
  </sheetData>
  <mergeCells count="36">
    <mergeCell ref="K1:L2"/>
    <mergeCell ref="B1:J1"/>
    <mergeCell ref="B2:J2"/>
    <mergeCell ref="B4:J4"/>
    <mergeCell ref="B5:C5"/>
    <mergeCell ref="D5:J5"/>
    <mergeCell ref="B8:C8"/>
    <mergeCell ref="D8:J8"/>
    <mergeCell ref="B9:C9"/>
    <mergeCell ref="D9:J9"/>
    <mergeCell ref="B6:C6"/>
    <mergeCell ref="D6:J6"/>
    <mergeCell ref="B7:C7"/>
    <mergeCell ref="D7:J7"/>
    <mergeCell ref="D10:J10"/>
    <mergeCell ref="B11:J11"/>
    <mergeCell ref="C13:D13"/>
    <mergeCell ref="F13:G13"/>
    <mergeCell ref="F14:G14"/>
    <mergeCell ref="C14:D14"/>
    <mergeCell ref="H14:I14"/>
    <mergeCell ref="H13:I13"/>
    <mergeCell ref="C15:D15"/>
    <mergeCell ref="F15:G15"/>
    <mergeCell ref="C16:D16"/>
    <mergeCell ref="F16:G16"/>
    <mergeCell ref="H16:I16"/>
    <mergeCell ref="H15:I15"/>
    <mergeCell ref="B44:C44"/>
    <mergeCell ref="B46:C46"/>
    <mergeCell ref="F18:G18"/>
    <mergeCell ref="B39:C39"/>
    <mergeCell ref="H18:I18"/>
    <mergeCell ref="C19:D19"/>
    <mergeCell ref="F19:G19"/>
    <mergeCell ref="B24:D24"/>
  </mergeCells>
  <pageMargins left="0.74791666666666667" right="0.74791666666666667" top="0.98402777777777772" bottom="0.98402777777777772" header="0.51180555555555551" footer="0.51180555555555551"/>
  <pageSetup firstPageNumber="0" orientation="landscape" horizontalDpi="300" verticalDpi="300" r:id="rId1"/>
  <headerFooter alignWithMargins="0"/>
  <ignoredErrors>
    <ignoredError sqref="F26" evalError="1"/>
    <ignoredError sqref="D36" formula="1"/>
  </ignoredErrors>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K32"/>
  <sheetViews>
    <sheetView workbookViewId="0">
      <selection activeCell="D29" sqref="D29"/>
    </sheetView>
  </sheetViews>
  <sheetFormatPr baseColWidth="10" defaultRowHeight="12.75" x14ac:dyDescent="0.2"/>
  <cols>
    <col min="1" max="1" width="42.28515625" style="14" customWidth="1"/>
    <col min="2" max="2" width="12.140625" style="14" customWidth="1"/>
    <col min="3" max="9" width="11.42578125" style="14"/>
    <col min="10" max="10" width="14" style="14" customWidth="1"/>
    <col min="11" max="16384" width="11.42578125" style="14"/>
  </cols>
  <sheetData>
    <row r="2" spans="1:11" x14ac:dyDescent="0.2">
      <c r="A2" s="866" t="s">
        <v>44</v>
      </c>
      <c r="B2" s="867"/>
      <c r="C2" s="867"/>
      <c r="D2" s="867"/>
      <c r="E2" s="867"/>
      <c r="F2" s="867"/>
      <c r="G2" s="867"/>
      <c r="H2" s="867"/>
      <c r="I2" s="867"/>
      <c r="J2" s="867"/>
      <c r="K2" s="867"/>
    </row>
    <row r="3" spans="1:11" ht="13.5" thickBot="1" x14ac:dyDescent="0.25"/>
    <row r="4" spans="1:11" ht="51.75" thickBot="1" x14ac:dyDescent="0.25">
      <c r="A4" s="139" t="s">
        <v>45</v>
      </c>
      <c r="B4" s="140" t="s">
        <v>33</v>
      </c>
      <c r="C4" s="140" t="s">
        <v>34</v>
      </c>
      <c r="D4" s="140" t="s">
        <v>35</v>
      </c>
      <c r="E4" s="140" t="s">
        <v>36</v>
      </c>
      <c r="F4" s="140" t="s">
        <v>37</v>
      </c>
      <c r="G4" s="140" t="s">
        <v>38</v>
      </c>
      <c r="H4" s="140" t="s">
        <v>39</v>
      </c>
      <c r="I4" s="140" t="s">
        <v>40</v>
      </c>
      <c r="J4" s="140" t="s">
        <v>41</v>
      </c>
      <c r="K4" s="141" t="s">
        <v>42</v>
      </c>
    </row>
    <row r="5" spans="1:11" s="1" customFormat="1" ht="24" customHeight="1" x14ac:dyDescent="0.2">
      <c r="A5" s="156" t="s">
        <v>29</v>
      </c>
      <c r="B5" s="144"/>
      <c r="C5" s="144"/>
      <c r="D5" s="144"/>
      <c r="E5" s="144"/>
      <c r="F5" s="144"/>
      <c r="G5" s="144"/>
      <c r="H5" s="144"/>
      <c r="I5" s="144"/>
      <c r="J5" s="144"/>
      <c r="K5" s="145"/>
    </row>
    <row r="6" spans="1:11" x14ac:dyDescent="0.2">
      <c r="A6" s="146" t="s">
        <v>46</v>
      </c>
      <c r="B6" s="143"/>
      <c r="C6" s="143"/>
      <c r="D6" s="143"/>
      <c r="E6" s="138"/>
      <c r="F6" s="143"/>
      <c r="G6" s="143"/>
      <c r="H6" s="138"/>
      <c r="I6" s="138"/>
      <c r="J6" s="143"/>
      <c r="K6" s="147"/>
    </row>
    <row r="7" spans="1:11" x14ac:dyDescent="0.2">
      <c r="A7" s="148" t="s">
        <v>47</v>
      </c>
      <c r="B7" s="143"/>
      <c r="C7" s="143"/>
      <c r="D7" s="138"/>
      <c r="E7" s="138"/>
      <c r="F7" s="138"/>
      <c r="G7" s="143"/>
      <c r="H7" s="138"/>
      <c r="I7" s="138"/>
      <c r="J7" s="138"/>
      <c r="K7" s="147"/>
    </row>
    <row r="8" spans="1:11" ht="25.5" x14ac:dyDescent="0.2">
      <c r="A8" s="148" t="s">
        <v>48</v>
      </c>
      <c r="B8" s="143"/>
      <c r="C8" s="143"/>
      <c r="D8" s="138"/>
      <c r="E8" s="138"/>
      <c r="F8" s="138"/>
      <c r="G8" s="143"/>
      <c r="H8" s="138"/>
      <c r="I8" s="138"/>
      <c r="J8" s="138"/>
      <c r="K8" s="147"/>
    </row>
    <row r="9" spans="1:11" ht="38.25" x14ac:dyDescent="0.2">
      <c r="A9" s="148" t="s">
        <v>49</v>
      </c>
      <c r="B9" s="143"/>
      <c r="C9" s="143"/>
      <c r="D9" s="138"/>
      <c r="E9" s="138"/>
      <c r="F9" s="138"/>
      <c r="G9" s="143"/>
      <c r="H9" s="138"/>
      <c r="I9" s="138"/>
      <c r="J9" s="138"/>
      <c r="K9" s="147"/>
    </row>
    <row r="10" spans="1:11" x14ac:dyDescent="0.2">
      <c r="A10" s="148" t="s">
        <v>50</v>
      </c>
      <c r="B10" s="143"/>
      <c r="C10" s="143"/>
      <c r="D10" s="138"/>
      <c r="E10" s="138"/>
      <c r="F10" s="138"/>
      <c r="G10" s="143"/>
      <c r="H10" s="138"/>
      <c r="I10" s="138"/>
      <c r="J10" s="138"/>
      <c r="K10" s="147"/>
    </row>
    <row r="11" spans="1:11" ht="25.5" x14ac:dyDescent="0.2">
      <c r="A11" s="148" t="s">
        <v>51</v>
      </c>
      <c r="B11" s="143"/>
      <c r="C11" s="143"/>
      <c r="D11" s="138"/>
      <c r="E11" s="138"/>
      <c r="F11" s="138"/>
      <c r="G11" s="143"/>
      <c r="H11" s="138"/>
      <c r="I11" s="138"/>
      <c r="J11" s="138"/>
      <c r="K11" s="147"/>
    </row>
    <row r="12" spans="1:11" ht="39.75" customHeight="1" x14ac:dyDescent="0.2">
      <c r="A12" s="148" t="s">
        <v>52</v>
      </c>
      <c r="B12" s="143"/>
      <c r="C12" s="143"/>
      <c r="D12" s="138"/>
      <c r="E12" s="138"/>
      <c r="F12" s="138"/>
      <c r="G12" s="143"/>
      <c r="H12" s="138"/>
      <c r="I12" s="138"/>
      <c r="J12" s="138"/>
      <c r="K12" s="147"/>
    </row>
    <row r="13" spans="1:11" ht="25.5" x14ac:dyDescent="0.2">
      <c r="A13" s="148" t="s">
        <v>53</v>
      </c>
      <c r="B13" s="138"/>
      <c r="C13" s="138"/>
      <c r="D13" s="138"/>
      <c r="E13" s="138"/>
      <c r="F13" s="143"/>
      <c r="G13" s="138"/>
      <c r="H13" s="138"/>
      <c r="I13" s="138"/>
      <c r="J13" s="138"/>
      <c r="K13" s="147"/>
    </row>
    <row r="14" spans="1:11" ht="25.5" x14ac:dyDescent="0.2">
      <c r="A14" s="148" t="s">
        <v>54</v>
      </c>
      <c r="B14" s="143"/>
      <c r="C14" s="138"/>
      <c r="D14" s="138"/>
      <c r="E14" s="138"/>
      <c r="F14" s="143"/>
      <c r="G14" s="143"/>
      <c r="H14" s="138"/>
      <c r="I14" s="138"/>
      <c r="J14" s="143"/>
      <c r="K14" s="147"/>
    </row>
    <row r="15" spans="1:11" x14ac:dyDescent="0.2">
      <c r="A15" s="149" t="s">
        <v>55</v>
      </c>
      <c r="B15" s="143"/>
      <c r="C15" s="143"/>
      <c r="D15" s="143"/>
      <c r="E15" s="138"/>
      <c r="F15" s="143"/>
      <c r="G15" s="143"/>
      <c r="H15" s="138"/>
      <c r="I15" s="138"/>
      <c r="J15" s="143"/>
      <c r="K15" s="147"/>
    </row>
    <row r="16" spans="1:11" x14ac:dyDescent="0.2">
      <c r="A16" s="148" t="s">
        <v>56</v>
      </c>
      <c r="B16" s="143"/>
      <c r="C16" s="143"/>
      <c r="D16" s="138"/>
      <c r="E16" s="138"/>
      <c r="F16" s="143"/>
      <c r="G16" s="143"/>
      <c r="H16" s="138"/>
      <c r="I16" s="138"/>
      <c r="J16" s="143"/>
      <c r="K16" s="147"/>
    </row>
    <row r="17" spans="1:11" ht="25.5" x14ac:dyDescent="0.2">
      <c r="A17" s="148" t="s">
        <v>57</v>
      </c>
      <c r="B17" s="143"/>
      <c r="C17" s="143"/>
      <c r="D17" s="138"/>
      <c r="E17" s="138"/>
      <c r="F17" s="143"/>
      <c r="G17" s="143"/>
      <c r="H17" s="138"/>
      <c r="I17" s="138"/>
      <c r="J17" s="143"/>
      <c r="K17" s="147"/>
    </row>
    <row r="18" spans="1:11" ht="25.5" x14ac:dyDescent="0.2">
      <c r="A18" s="148" t="s">
        <v>58</v>
      </c>
      <c r="B18" s="143"/>
      <c r="C18" s="143"/>
      <c r="D18" s="138"/>
      <c r="E18" s="138"/>
      <c r="F18" s="143"/>
      <c r="G18" s="143"/>
      <c r="H18" s="138"/>
      <c r="I18" s="138"/>
      <c r="J18" s="143"/>
      <c r="K18" s="147"/>
    </row>
    <row r="19" spans="1:11" ht="25.5" x14ac:dyDescent="0.2">
      <c r="A19" s="148" t="s">
        <v>59</v>
      </c>
      <c r="B19" s="143"/>
      <c r="C19" s="143"/>
      <c r="D19" s="138"/>
      <c r="E19" s="138"/>
      <c r="F19" s="143"/>
      <c r="G19" s="143"/>
      <c r="H19" s="138"/>
      <c r="I19" s="138"/>
      <c r="J19" s="143"/>
      <c r="K19" s="147"/>
    </row>
    <row r="20" spans="1:11" x14ac:dyDescent="0.2">
      <c r="A20" s="149" t="s">
        <v>60</v>
      </c>
      <c r="B20" s="143"/>
      <c r="C20" s="143"/>
      <c r="D20" s="143"/>
      <c r="E20" s="138"/>
      <c r="F20" s="143"/>
      <c r="G20" s="143"/>
      <c r="H20" s="138"/>
      <c r="I20" s="138"/>
      <c r="J20" s="143"/>
      <c r="K20" s="147"/>
    </row>
    <row r="21" spans="1:11" x14ac:dyDescent="0.2">
      <c r="A21" s="148" t="s">
        <v>61</v>
      </c>
      <c r="B21" s="138"/>
      <c r="C21" s="138"/>
      <c r="D21" s="138"/>
      <c r="E21" s="138"/>
      <c r="F21" s="143"/>
      <c r="G21" s="138"/>
      <c r="H21" s="138"/>
      <c r="I21" s="138"/>
      <c r="J21" s="138"/>
      <c r="K21" s="147"/>
    </row>
    <row r="22" spans="1:11" x14ac:dyDescent="0.2">
      <c r="A22" s="148" t="s">
        <v>62</v>
      </c>
      <c r="B22" s="138"/>
      <c r="C22" s="138"/>
      <c r="D22" s="138"/>
      <c r="E22" s="138"/>
      <c r="F22" s="138"/>
      <c r="G22" s="138"/>
      <c r="H22" s="138"/>
      <c r="I22" s="138"/>
      <c r="J22" s="138"/>
      <c r="K22" s="147"/>
    </row>
    <row r="23" spans="1:11" x14ac:dyDescent="0.2">
      <c r="A23" s="148" t="s">
        <v>63</v>
      </c>
      <c r="B23" s="138"/>
      <c r="C23" s="138"/>
      <c r="D23" s="138"/>
      <c r="E23" s="138"/>
      <c r="F23" s="138"/>
      <c r="G23" s="138"/>
      <c r="H23" s="138"/>
      <c r="I23" s="138"/>
      <c r="J23" s="138"/>
      <c r="K23" s="147"/>
    </row>
    <row r="24" spans="1:11" x14ac:dyDescent="0.2">
      <c r="A24" s="148" t="s">
        <v>64</v>
      </c>
      <c r="B24" s="138"/>
      <c r="C24" s="138"/>
      <c r="D24" s="138"/>
      <c r="E24" s="138"/>
      <c r="F24" s="143"/>
      <c r="G24" s="143"/>
      <c r="H24" s="138"/>
      <c r="I24" s="138"/>
      <c r="J24" s="138"/>
      <c r="K24" s="147"/>
    </row>
    <row r="25" spans="1:11" x14ac:dyDescent="0.2">
      <c r="A25" s="146" t="s">
        <v>65</v>
      </c>
      <c r="B25" s="143"/>
      <c r="C25" s="143"/>
      <c r="D25" s="143"/>
      <c r="E25" s="138"/>
      <c r="F25" s="143"/>
      <c r="G25" s="143"/>
      <c r="H25" s="138"/>
      <c r="I25" s="138"/>
      <c r="J25" s="143"/>
      <c r="K25" s="147"/>
    </row>
    <row r="26" spans="1:11" ht="25.5" x14ac:dyDescent="0.2">
      <c r="A26" s="148" t="s">
        <v>66</v>
      </c>
      <c r="B26" s="143"/>
      <c r="C26" s="143"/>
      <c r="D26" s="138"/>
      <c r="E26" s="138"/>
      <c r="F26" s="138"/>
      <c r="G26" s="143"/>
      <c r="H26" s="138"/>
      <c r="I26" s="138"/>
      <c r="J26" s="143"/>
      <c r="K26" s="147"/>
    </row>
    <row r="27" spans="1:11" s="1" customFormat="1" ht="32.25" customHeight="1" x14ac:dyDescent="0.2">
      <c r="A27" s="155" t="s">
        <v>30</v>
      </c>
      <c r="B27" s="142"/>
      <c r="C27" s="142"/>
      <c r="D27" s="142"/>
      <c r="E27" s="142"/>
      <c r="F27" s="142"/>
      <c r="G27" s="142"/>
      <c r="H27" s="142"/>
      <c r="I27" s="142"/>
      <c r="J27" s="142"/>
      <c r="K27" s="151"/>
    </row>
    <row r="28" spans="1:11" s="1" customFormat="1" ht="20.25" customHeight="1" x14ac:dyDescent="0.2">
      <c r="A28" s="150" t="s">
        <v>31</v>
      </c>
      <c r="B28" s="142"/>
      <c r="C28" s="142"/>
      <c r="D28" s="142"/>
      <c r="E28" s="142"/>
      <c r="F28" s="142"/>
      <c r="G28" s="142"/>
      <c r="H28" s="142"/>
      <c r="I28" s="142"/>
      <c r="J28" s="142"/>
      <c r="K28" s="151"/>
    </row>
    <row r="29" spans="1:11" s="1" customFormat="1" ht="63" customHeight="1" thickBot="1" x14ac:dyDescent="0.25">
      <c r="A29" s="154" t="s">
        <v>32</v>
      </c>
      <c r="B29" s="152"/>
      <c r="C29" s="152"/>
      <c r="D29" s="152"/>
      <c r="E29" s="152"/>
      <c r="F29" s="152"/>
      <c r="G29" s="152"/>
      <c r="H29" s="152"/>
      <c r="I29" s="152"/>
      <c r="J29" s="152"/>
      <c r="K29" s="153"/>
    </row>
    <row r="31" spans="1:11" x14ac:dyDescent="0.2">
      <c r="A31" s="868" t="s">
        <v>67</v>
      </c>
      <c r="B31" s="869"/>
      <c r="C31" s="869"/>
      <c r="D31" s="869"/>
      <c r="E31" s="869"/>
      <c r="F31" s="869"/>
      <c r="G31" s="869"/>
      <c r="H31" s="869"/>
      <c r="I31" s="869"/>
      <c r="J31" s="869"/>
      <c r="K31" s="869"/>
    </row>
    <row r="32" spans="1:11" s="1" customFormat="1" x14ac:dyDescent="0.2">
      <c r="A32" s="868" t="s">
        <v>43</v>
      </c>
      <c r="B32" s="869"/>
      <c r="C32" s="869"/>
      <c r="D32" s="869"/>
      <c r="E32" s="869"/>
      <c r="F32" s="869"/>
      <c r="G32" s="869"/>
      <c r="H32" s="869"/>
      <c r="I32" s="869"/>
      <c r="J32" s="869"/>
      <c r="K32" s="869"/>
    </row>
  </sheetData>
  <mergeCells count="3">
    <mergeCell ref="A2:K2"/>
    <mergeCell ref="A32:K32"/>
    <mergeCell ref="A31:K31"/>
  </mergeCells>
  <pageMargins left="0.74791666666666667" right="0.74791666666666667" top="0.98402777777777772" bottom="0.98402777777777772" header="0.51180555555555551" footer="0.51180555555555551"/>
  <pageSetup firstPageNumber="0" orientation="portrait" horizontalDpi="300" verticalDpi="300"/>
  <headerFooter alignWithMargins="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U67"/>
  <sheetViews>
    <sheetView zoomScale="85" zoomScaleNormal="85" workbookViewId="0">
      <selection activeCell="B15" sqref="B15"/>
    </sheetView>
  </sheetViews>
  <sheetFormatPr baseColWidth="10" defaultRowHeight="12.75" x14ac:dyDescent="0.2"/>
  <cols>
    <col min="1" max="1" width="45.5703125" style="14" customWidth="1"/>
    <col min="2" max="2" width="12.7109375" style="14" bestFit="1" customWidth="1"/>
    <col min="3" max="3" width="21.5703125" style="14" customWidth="1"/>
    <col min="4" max="4" width="9.140625" style="14" bestFit="1" customWidth="1"/>
    <col min="5" max="6" width="7.42578125" style="14" hidden="1" customWidth="1"/>
    <col min="7" max="7" width="14.42578125" style="14" customWidth="1"/>
    <col min="8" max="8" width="21.5703125" style="14" customWidth="1"/>
    <col min="9" max="9" width="19.7109375" style="14" customWidth="1"/>
    <col min="10" max="12" width="13" style="14" customWidth="1"/>
    <col min="13" max="14" width="10.7109375" style="14" customWidth="1"/>
    <col min="15" max="15" width="13" style="14" customWidth="1"/>
    <col min="16" max="16" width="10.7109375" style="14" customWidth="1"/>
    <col min="17" max="18" width="13" style="14" customWidth="1"/>
    <col min="19" max="19" width="10.7109375" style="14" customWidth="1"/>
    <col min="20" max="21" width="13" style="14" customWidth="1"/>
    <col min="22" max="22" width="10.7109375" style="14" customWidth="1"/>
    <col min="23" max="23" width="13" style="14" customWidth="1"/>
    <col min="24" max="24" width="15.140625" style="14" customWidth="1"/>
    <col min="25" max="25" width="18.28515625" style="14" customWidth="1"/>
    <col min="26" max="27" width="11.42578125" style="14"/>
    <col min="28" max="28" width="3.7109375" style="14" customWidth="1"/>
    <col min="29" max="16384" width="11.42578125" style="14"/>
  </cols>
  <sheetData>
    <row r="1" spans="1:21" ht="13.5" thickBot="1" x14ac:dyDescent="0.25">
      <c r="A1" s="870" t="s">
        <v>70</v>
      </c>
      <c r="B1" s="870"/>
      <c r="C1" s="18"/>
      <c r="D1" s="17"/>
      <c r="E1" s="17"/>
      <c r="F1" s="17"/>
      <c r="G1" s="17"/>
      <c r="H1" s="17"/>
      <c r="I1" s="17"/>
      <c r="J1" s="17"/>
      <c r="K1" s="17"/>
      <c r="L1" s="17"/>
      <c r="M1" s="19"/>
      <c r="N1" s="19"/>
      <c r="O1" s="17"/>
      <c r="P1" s="17"/>
      <c r="Q1" s="17"/>
      <c r="R1" s="17"/>
      <c r="S1" s="17"/>
      <c r="T1" s="17"/>
      <c r="U1" s="17"/>
    </row>
    <row r="2" spans="1:21" ht="14.25" thickTop="1" thickBot="1" x14ac:dyDescent="0.25">
      <c r="A2" s="405" t="s">
        <v>555</v>
      </c>
      <c r="B2" s="406">
        <v>0.04</v>
      </c>
      <c r="C2" s="136"/>
    </row>
    <row r="3" spans="1:21" ht="14.25" thickTop="1" thickBot="1" x14ac:dyDescent="0.25">
      <c r="A3" s="405" t="s">
        <v>556</v>
      </c>
      <c r="B3" s="406">
        <v>0.05</v>
      </c>
      <c r="C3" s="136"/>
    </row>
    <row r="4" spans="1:21" ht="14.25" thickTop="1" thickBot="1" x14ac:dyDescent="0.25">
      <c r="A4" s="405" t="s">
        <v>557</v>
      </c>
      <c r="B4" s="406">
        <v>0.05</v>
      </c>
      <c r="C4" s="136"/>
    </row>
    <row r="5" spans="1:21" ht="14.25" thickTop="1" thickBot="1" x14ac:dyDescent="0.25">
      <c r="A5" s="405" t="s">
        <v>263</v>
      </c>
      <c r="B5" s="410">
        <f>+'Factor Prestacional '!G23</f>
        <v>70000</v>
      </c>
      <c r="C5" s="136"/>
    </row>
    <row r="6" spans="1:21" ht="14.25" thickTop="1" thickBot="1" x14ac:dyDescent="0.25">
      <c r="A6" s="405" t="s">
        <v>593</v>
      </c>
      <c r="B6" s="548">
        <v>0.35</v>
      </c>
      <c r="C6" s="136"/>
    </row>
    <row r="7" spans="1:21" ht="14.25" thickTop="1" thickBot="1" x14ac:dyDescent="0.25">
      <c r="A7" s="405" t="s">
        <v>71</v>
      </c>
      <c r="B7" s="408">
        <f>1+'Factor Prestacional '!D17</f>
        <v>1.427654</v>
      </c>
      <c r="C7" s="136"/>
    </row>
    <row r="8" spans="1:21" ht="14.25" thickTop="1" thickBot="1" x14ac:dyDescent="0.25">
      <c r="A8" s="405" t="s">
        <v>72</v>
      </c>
      <c r="B8" s="408">
        <f>1+'Factor Prestacional '!E17</f>
        <v>1.2684873333333333</v>
      </c>
      <c r="C8" s="136"/>
    </row>
    <row r="9" spans="1:21" ht="14.25" thickTop="1" thickBot="1" x14ac:dyDescent="0.25">
      <c r="A9" s="405" t="s">
        <v>73</v>
      </c>
      <c r="B9" s="408">
        <v>1.02</v>
      </c>
      <c r="C9" s="136"/>
    </row>
    <row r="10" spans="1:21" ht="14.25" thickTop="1" thickBot="1" x14ac:dyDescent="0.25">
      <c r="A10" s="405" t="s">
        <v>551</v>
      </c>
      <c r="B10" s="406">
        <v>0.12</v>
      </c>
      <c r="C10" s="136"/>
    </row>
    <row r="11" spans="1:21" ht="14.25" thickTop="1" thickBot="1" x14ac:dyDescent="0.25">
      <c r="A11" s="405" t="s">
        <v>552</v>
      </c>
      <c r="B11" s="406">
        <v>0.15</v>
      </c>
      <c r="C11" s="136"/>
    </row>
    <row r="12" spans="1:21" ht="14.25" thickTop="1" thickBot="1" x14ac:dyDescent="0.25">
      <c r="A12" s="405" t="s">
        <v>553</v>
      </c>
      <c r="B12" s="409">
        <v>2.5</v>
      </c>
      <c r="C12" s="136"/>
    </row>
    <row r="13" spans="1:21" ht="14.25" thickTop="1" thickBot="1" x14ac:dyDescent="0.25">
      <c r="A13" s="405" t="s">
        <v>554</v>
      </c>
      <c r="B13" s="409">
        <v>1.75</v>
      </c>
      <c r="C13" s="136"/>
    </row>
    <row r="14" spans="1:21" ht="14.25" thickTop="1" thickBot="1" x14ac:dyDescent="0.25">
      <c r="A14" s="405" t="s">
        <v>74</v>
      </c>
      <c r="B14" s="409">
        <f>+B12-B7</f>
        <v>1.072346</v>
      </c>
      <c r="C14" s="136"/>
    </row>
    <row r="15" spans="1:21" ht="14.25" thickTop="1" thickBot="1" x14ac:dyDescent="0.25">
      <c r="A15" s="405" t="s">
        <v>75</v>
      </c>
      <c r="B15" s="410">
        <v>160</v>
      </c>
      <c r="C15" s="471" t="s">
        <v>582</v>
      </c>
    </row>
    <row r="16" spans="1:21" ht="14.25" thickTop="1" thickBot="1" x14ac:dyDescent="0.25">
      <c r="A16" s="405" t="s">
        <v>266</v>
      </c>
      <c r="B16" s="591">
        <v>12</v>
      </c>
      <c r="C16" s="136"/>
    </row>
    <row r="17" spans="1:3" ht="14.25" thickTop="1" thickBot="1" x14ac:dyDescent="0.25">
      <c r="A17" s="405" t="s">
        <v>264</v>
      </c>
      <c r="B17" s="547">
        <v>0.85</v>
      </c>
      <c r="C17" s="136"/>
    </row>
    <row r="18" spans="1:3" ht="14.25" thickTop="1" thickBot="1" x14ac:dyDescent="0.25">
      <c r="A18" s="405" t="s">
        <v>265</v>
      </c>
      <c r="B18" s="410">
        <v>160</v>
      </c>
      <c r="C18" s="136"/>
    </row>
    <row r="19" spans="1:3" ht="14.25" thickTop="1" thickBot="1" x14ac:dyDescent="0.25">
      <c r="A19" s="405" t="s">
        <v>76</v>
      </c>
      <c r="B19" s="410">
        <v>67000</v>
      </c>
      <c r="C19" s="471" t="s">
        <v>582</v>
      </c>
    </row>
    <row r="20" spans="1:3" ht="14.25" thickTop="1" thickBot="1" x14ac:dyDescent="0.25">
      <c r="A20" s="405" t="s">
        <v>572</v>
      </c>
      <c r="B20" s="410">
        <v>0</v>
      </c>
      <c r="C20" s="136"/>
    </row>
    <row r="21" spans="1:3" ht="14.25" thickTop="1" thickBot="1" x14ac:dyDescent="0.25">
      <c r="A21" s="405" t="s">
        <v>77</v>
      </c>
      <c r="B21" s="591">
        <v>3200</v>
      </c>
      <c r="C21" s="136"/>
    </row>
    <row r="22" spans="1:3" ht="14.25" thickTop="1" thickBot="1" x14ac:dyDescent="0.25">
      <c r="A22" s="405" t="s">
        <v>78</v>
      </c>
      <c r="B22" s="406">
        <v>0.15</v>
      </c>
      <c r="C22" s="136"/>
    </row>
    <row r="23" spans="1:3" ht="14.25" thickTop="1" thickBot="1" x14ac:dyDescent="0.25">
      <c r="A23" s="405" t="s">
        <v>214</v>
      </c>
      <c r="B23" s="406">
        <v>0.1</v>
      </c>
      <c r="C23" s="136"/>
    </row>
    <row r="24" spans="1:3" ht="14.25" thickTop="1" thickBot="1" x14ac:dyDescent="0.25">
      <c r="A24" s="405" t="s">
        <v>79</v>
      </c>
      <c r="B24" s="406">
        <v>0</v>
      </c>
      <c r="C24" s="136"/>
    </row>
    <row r="25" spans="1:3" ht="14.25" thickTop="1" thickBot="1" x14ac:dyDescent="0.25">
      <c r="A25" s="405" t="s">
        <v>80</v>
      </c>
      <c r="B25" s="406">
        <f>SUM(B22:B24)</f>
        <v>0.25</v>
      </c>
      <c r="C25" s="136"/>
    </row>
    <row r="26" spans="1:3" ht="14.25" thickTop="1" thickBot="1" x14ac:dyDescent="0.25">
      <c r="A26" s="405" t="s">
        <v>23</v>
      </c>
      <c r="B26" s="406"/>
      <c r="C26" s="136"/>
    </row>
    <row r="27" spans="1:3" ht="14.25" thickTop="1" thickBot="1" x14ac:dyDescent="0.25">
      <c r="A27" s="405" t="s">
        <v>24</v>
      </c>
      <c r="B27" s="561">
        <v>0.05</v>
      </c>
      <c r="C27" s="136"/>
    </row>
    <row r="28" spans="1:3" ht="14.25" thickTop="1" thickBot="1" x14ac:dyDescent="0.25">
      <c r="A28" s="405" t="s">
        <v>26</v>
      </c>
      <c r="B28" s="407"/>
      <c r="C28" s="136"/>
    </row>
    <row r="29" spans="1:3" ht="14.25" thickTop="1" thickBot="1" x14ac:dyDescent="0.25">
      <c r="A29" s="405" t="s">
        <v>27</v>
      </c>
      <c r="B29" s="406">
        <v>0.25</v>
      </c>
      <c r="C29" s="136"/>
    </row>
    <row r="30" spans="1:3" ht="14.25" thickTop="1" thickBot="1" x14ac:dyDescent="0.25">
      <c r="A30" s="405" t="s">
        <v>28</v>
      </c>
      <c r="B30" s="407"/>
      <c r="C30" s="136"/>
    </row>
    <row r="31" spans="1:3" ht="14.25" thickTop="1" thickBot="1" x14ac:dyDescent="0.25">
      <c r="A31" s="405" t="s">
        <v>276</v>
      </c>
      <c r="B31" s="410">
        <v>802000</v>
      </c>
      <c r="C31" s="136"/>
    </row>
    <row r="32" spans="1:3" ht="14.25" thickTop="1" thickBot="1" x14ac:dyDescent="0.25">
      <c r="A32" s="405" t="s">
        <v>275</v>
      </c>
      <c r="B32" s="410">
        <v>339000</v>
      </c>
      <c r="C32" s="560"/>
    </row>
    <row r="33" spans="1:6" ht="14.25" thickTop="1" thickBot="1" x14ac:dyDescent="0.25">
      <c r="A33" s="405" t="s">
        <v>274</v>
      </c>
      <c r="B33" s="410">
        <v>50000</v>
      </c>
    </row>
    <row r="34" spans="1:6" ht="14.25" thickTop="1" thickBot="1" x14ac:dyDescent="0.25">
      <c r="A34" s="422"/>
      <c r="B34" s="423"/>
    </row>
    <row r="35" spans="1:6" s="432" customFormat="1" ht="14.25" customHeight="1" thickTop="1" thickBot="1" x14ac:dyDescent="0.25">
      <c r="A35" s="717" t="s">
        <v>571</v>
      </c>
      <c r="B35" s="433" t="s">
        <v>344</v>
      </c>
      <c r="C35" s="433" t="s">
        <v>343</v>
      </c>
      <c r="D35" s="433" t="s">
        <v>277</v>
      </c>
    </row>
    <row r="36" spans="1:6" ht="14.25" thickTop="1" thickBot="1" x14ac:dyDescent="0.25">
      <c r="B36" s="410" t="s">
        <v>342</v>
      </c>
      <c r="C36" s="410"/>
      <c r="D36" s="410">
        <v>32900</v>
      </c>
    </row>
    <row r="37" spans="1:6" ht="14.25" thickTop="1" thickBot="1" x14ac:dyDescent="0.25">
      <c r="B37" s="410">
        <v>1</v>
      </c>
      <c r="C37" s="410">
        <v>1000000</v>
      </c>
      <c r="D37" s="410">
        <v>32900</v>
      </c>
      <c r="E37" s="14">
        <f ca="1">GESTEP(B37,Resumen!$D$39)</f>
        <v>0</v>
      </c>
      <c r="F37" s="14">
        <f ca="1">+IF((E37-E38)=-1,D37,0)</f>
        <v>0</v>
      </c>
    </row>
    <row r="38" spans="1:6" ht="14.25" thickTop="1" thickBot="1" x14ac:dyDescent="0.25">
      <c r="B38" s="410">
        <v>1000001</v>
      </c>
      <c r="C38" s="410">
        <v>1400000</v>
      </c>
      <c r="D38" s="410">
        <v>58100</v>
      </c>
      <c r="E38" s="14">
        <f ca="1">GESTEP(B38,Resumen!$D$39)</f>
        <v>0</v>
      </c>
      <c r="F38" s="14">
        <f t="shared" ref="F38:F66" ca="1" si="0">+IF((E38-E39)=-1,D38,0)</f>
        <v>0</v>
      </c>
    </row>
    <row r="39" spans="1:6" ht="14.25" thickTop="1" thickBot="1" x14ac:dyDescent="0.25">
      <c r="B39" s="410">
        <v>1400001</v>
      </c>
      <c r="C39" s="410">
        <v>1800000</v>
      </c>
      <c r="D39" s="410">
        <v>84000</v>
      </c>
      <c r="E39" s="14">
        <f ca="1">GESTEP(B39,Resumen!$D$39)</f>
        <v>0</v>
      </c>
      <c r="F39" s="14">
        <f t="shared" ca="1" si="0"/>
        <v>0</v>
      </c>
    </row>
    <row r="40" spans="1:6" ht="14.25" thickTop="1" thickBot="1" x14ac:dyDescent="0.25">
      <c r="B40" s="410">
        <v>1800001</v>
      </c>
      <c r="C40" s="410">
        <v>2200000</v>
      </c>
      <c r="D40" s="410">
        <v>113100</v>
      </c>
      <c r="E40" s="14">
        <f ca="1">GESTEP(B40,Resumen!$D$39)</f>
        <v>0</v>
      </c>
      <c r="F40" s="14">
        <f t="shared" ca="1" si="0"/>
        <v>0</v>
      </c>
    </row>
    <row r="41" spans="1:6" ht="14.25" thickTop="1" thickBot="1" x14ac:dyDescent="0.25">
      <c r="B41" s="410">
        <v>2200001</v>
      </c>
      <c r="C41" s="410">
        <v>2600000</v>
      </c>
      <c r="D41" s="410">
        <v>138300</v>
      </c>
      <c r="E41" s="14">
        <f ca="1">GESTEP(B41,Resumen!$D$39)</f>
        <v>0</v>
      </c>
      <c r="F41" s="14">
        <f t="shared" ca="1" si="0"/>
        <v>0</v>
      </c>
    </row>
    <row r="42" spans="1:6" ht="14.25" thickTop="1" thickBot="1" x14ac:dyDescent="0.25">
      <c r="B42" s="410">
        <v>2600001</v>
      </c>
      <c r="C42" s="410">
        <v>3000000</v>
      </c>
      <c r="D42" s="410">
        <v>167800</v>
      </c>
      <c r="E42" s="14">
        <f ca="1">GESTEP(B42,Resumen!$D$39)</f>
        <v>0</v>
      </c>
      <c r="F42" s="14">
        <f t="shared" ca="1" si="0"/>
        <v>0</v>
      </c>
    </row>
    <row r="43" spans="1:6" ht="14.25" thickTop="1" thickBot="1" x14ac:dyDescent="0.25">
      <c r="B43" s="410">
        <v>3000001</v>
      </c>
      <c r="C43" s="410">
        <v>4000000</v>
      </c>
      <c r="D43" s="410">
        <v>180100</v>
      </c>
      <c r="E43" s="14">
        <f ca="1">GESTEP(B43,Resumen!$D$39)</f>
        <v>0</v>
      </c>
      <c r="F43" s="14">
        <f t="shared" ca="1" si="0"/>
        <v>0</v>
      </c>
    </row>
    <row r="44" spans="1:6" ht="14.25" thickTop="1" thickBot="1" x14ac:dyDescent="0.25">
      <c r="B44" s="410">
        <v>4000001</v>
      </c>
      <c r="C44" s="410">
        <v>5000000</v>
      </c>
      <c r="D44" s="410">
        <v>193000</v>
      </c>
      <c r="E44" s="14">
        <f ca="1">GESTEP(B44,Resumen!$D$39)</f>
        <v>0</v>
      </c>
      <c r="F44" s="14">
        <f t="shared" ca="1" si="0"/>
        <v>0</v>
      </c>
    </row>
    <row r="45" spans="1:6" ht="14.25" thickTop="1" thickBot="1" x14ac:dyDescent="0.25">
      <c r="B45" s="410">
        <v>5000001</v>
      </c>
      <c r="C45" s="410">
        <v>7000000</v>
      </c>
      <c r="D45" s="410">
        <v>211200</v>
      </c>
      <c r="E45" s="14">
        <f ca="1">GESTEP(B45,Resumen!$D$39)</f>
        <v>0</v>
      </c>
      <c r="F45" s="14">
        <f t="shared" ca="1" si="0"/>
        <v>0</v>
      </c>
    </row>
    <row r="46" spans="1:6" ht="14.25" thickTop="1" thickBot="1" x14ac:dyDescent="0.25">
      <c r="B46" s="410">
        <v>7000001</v>
      </c>
      <c r="C46" s="410">
        <v>9000000</v>
      </c>
      <c r="D46" s="410">
        <v>251600</v>
      </c>
      <c r="E46" s="14">
        <f ca="1">GESTEP(B46,Resumen!$D$39)</f>
        <v>0</v>
      </c>
      <c r="F46" s="14">
        <f t="shared" ca="1" si="0"/>
        <v>0</v>
      </c>
    </row>
    <row r="47" spans="1:6" ht="14.25" thickTop="1" thickBot="1" x14ac:dyDescent="0.25">
      <c r="B47" s="410">
        <v>9000001</v>
      </c>
      <c r="C47" s="410">
        <v>11000000</v>
      </c>
      <c r="D47" s="410">
        <v>266000</v>
      </c>
      <c r="E47" s="14">
        <f ca="1">GESTEP(B47,Resumen!$D$39)</f>
        <v>0</v>
      </c>
      <c r="F47" s="14">
        <f t="shared" ca="1" si="0"/>
        <v>0</v>
      </c>
    </row>
    <row r="48" spans="1:6" ht="14.25" thickTop="1" thickBot="1" x14ac:dyDescent="0.25">
      <c r="B48" s="410">
        <v>11000001</v>
      </c>
      <c r="C48" s="410">
        <v>14000000</v>
      </c>
      <c r="D48" s="410">
        <v>287900</v>
      </c>
      <c r="E48" s="14">
        <f ca="1">GESTEP(B48,Resumen!$D$39)</f>
        <v>0</v>
      </c>
      <c r="F48" s="14">
        <f t="shared" ca="1" si="0"/>
        <v>0</v>
      </c>
    </row>
    <row r="49" spans="2:6" ht="14.25" thickTop="1" thickBot="1" x14ac:dyDescent="0.25">
      <c r="B49" s="410">
        <v>14000001</v>
      </c>
      <c r="C49" s="410">
        <v>17000000</v>
      </c>
      <c r="D49" s="410">
        <v>313300</v>
      </c>
      <c r="E49" s="14">
        <f ca="1">GESTEP(B49,Resumen!$D$39)</f>
        <v>0</v>
      </c>
      <c r="F49" s="14">
        <f t="shared" ca="1" si="0"/>
        <v>0</v>
      </c>
    </row>
    <row r="50" spans="2:6" ht="14.25" thickTop="1" thickBot="1" x14ac:dyDescent="0.25">
      <c r="B50" s="410">
        <v>17000001</v>
      </c>
      <c r="C50" s="410">
        <v>20000000</v>
      </c>
      <c r="D50" s="410">
        <v>338900</v>
      </c>
      <c r="E50" s="14">
        <f ca="1">GESTEP(B50,Resumen!$D$39)</f>
        <v>0</v>
      </c>
      <c r="F50" s="14">
        <f t="shared" ca="1" si="0"/>
        <v>0</v>
      </c>
    </row>
    <row r="51" spans="2:6" ht="14.25" thickTop="1" thickBot="1" x14ac:dyDescent="0.25">
      <c r="B51" s="410">
        <v>20000001</v>
      </c>
      <c r="C51" s="410">
        <v>25000000</v>
      </c>
      <c r="D51" s="410">
        <v>371800</v>
      </c>
      <c r="E51" s="14">
        <f ca="1">GESTEP(B51,Resumen!$D$39)</f>
        <v>0</v>
      </c>
      <c r="F51" s="14">
        <f t="shared" ca="1" si="0"/>
        <v>0</v>
      </c>
    </row>
    <row r="52" spans="2:6" ht="14.25" thickTop="1" thickBot="1" x14ac:dyDescent="0.25">
      <c r="B52" s="410">
        <v>25000001</v>
      </c>
      <c r="C52" s="410">
        <v>30000000</v>
      </c>
      <c r="D52" s="410">
        <v>408200</v>
      </c>
      <c r="E52" s="14">
        <f ca="1">GESTEP(B52,Resumen!$D$39)</f>
        <v>0</v>
      </c>
      <c r="F52" s="14">
        <f t="shared" ca="1" si="0"/>
        <v>0</v>
      </c>
    </row>
    <row r="53" spans="2:6" ht="14.25" thickTop="1" thickBot="1" x14ac:dyDescent="0.25">
      <c r="B53" s="410">
        <v>30000001</v>
      </c>
      <c r="C53" s="410">
        <v>35000000</v>
      </c>
      <c r="D53" s="410">
        <v>445400</v>
      </c>
      <c r="E53" s="14">
        <f ca="1">GESTEP(B53,Resumen!$D$39)</f>
        <v>0</v>
      </c>
      <c r="F53" s="14">
        <f t="shared" ca="1" si="0"/>
        <v>0</v>
      </c>
    </row>
    <row r="54" spans="2:6" ht="14.25" thickTop="1" thickBot="1" x14ac:dyDescent="0.25">
      <c r="B54" s="410">
        <v>35000001</v>
      </c>
      <c r="C54" s="410">
        <v>40000000</v>
      </c>
      <c r="D54" s="410">
        <v>482700</v>
      </c>
      <c r="E54" s="14">
        <f ca="1">GESTEP(B54,Resumen!$D$39)</f>
        <v>0</v>
      </c>
      <c r="F54" s="14">
        <f t="shared" ca="1" si="0"/>
        <v>0</v>
      </c>
    </row>
    <row r="55" spans="2:6" ht="14.25" thickTop="1" thickBot="1" x14ac:dyDescent="0.25">
      <c r="B55" s="410">
        <v>40000001</v>
      </c>
      <c r="C55" s="410">
        <v>50000000</v>
      </c>
      <c r="D55" s="410">
        <v>519500</v>
      </c>
      <c r="E55" s="14">
        <f ca="1">GESTEP(B55,Resumen!$D$39)</f>
        <v>0</v>
      </c>
      <c r="F55" s="14">
        <f t="shared" ca="1" si="0"/>
        <v>0</v>
      </c>
    </row>
    <row r="56" spans="2:6" ht="14.25" thickTop="1" thickBot="1" x14ac:dyDescent="0.25">
      <c r="B56" s="410">
        <v>50000001</v>
      </c>
      <c r="C56" s="410">
        <v>60000000</v>
      </c>
      <c r="D56" s="410">
        <v>594000</v>
      </c>
      <c r="E56" s="14">
        <f ca="1">GESTEP(B56,Resumen!$D$39)</f>
        <v>0</v>
      </c>
      <c r="F56" s="14">
        <f t="shared" ca="1" si="0"/>
        <v>0</v>
      </c>
    </row>
    <row r="57" spans="2:6" ht="14.25" thickTop="1" thickBot="1" x14ac:dyDescent="0.25">
      <c r="B57" s="410">
        <v>60000001</v>
      </c>
      <c r="C57" s="410">
        <v>70000000</v>
      </c>
      <c r="D57" s="410">
        <v>668000</v>
      </c>
      <c r="E57" s="14">
        <f ca="1">GESTEP(B57,Resumen!$D$39)</f>
        <v>0</v>
      </c>
      <c r="F57" s="14">
        <f t="shared" ca="1" si="0"/>
        <v>0</v>
      </c>
    </row>
    <row r="58" spans="2:6" ht="14.25" thickTop="1" thickBot="1" x14ac:dyDescent="0.25">
      <c r="B58" s="410">
        <v>70000001</v>
      </c>
      <c r="C58" s="410">
        <v>90000000</v>
      </c>
      <c r="D58" s="410">
        <v>742300</v>
      </c>
      <c r="E58" s="14">
        <f ca="1">GESTEP(B58,Resumen!$D$39)</f>
        <v>0</v>
      </c>
      <c r="F58" s="14">
        <f t="shared" ca="1" si="0"/>
        <v>0</v>
      </c>
    </row>
    <row r="59" spans="2:6" ht="14.25" thickTop="1" thickBot="1" x14ac:dyDescent="0.25">
      <c r="B59" s="410">
        <v>90000001</v>
      </c>
      <c r="C59" s="410">
        <v>110000000</v>
      </c>
      <c r="D59" s="410">
        <v>816300</v>
      </c>
      <c r="E59" s="14">
        <f ca="1">GESTEP(B59,Resumen!$D$39)</f>
        <v>0</v>
      </c>
      <c r="F59" s="14">
        <f t="shared" ca="1" si="0"/>
        <v>0</v>
      </c>
    </row>
    <row r="60" spans="2:6" ht="14.25" thickTop="1" thickBot="1" x14ac:dyDescent="0.25">
      <c r="B60" s="410">
        <v>110000001</v>
      </c>
      <c r="C60" s="410">
        <v>140000000</v>
      </c>
      <c r="D60" s="410">
        <v>928000</v>
      </c>
      <c r="E60" s="14">
        <f ca="1">GESTEP(B60,Resumen!$D$39)</f>
        <v>0</v>
      </c>
      <c r="F60" s="14">
        <f t="shared" ca="1" si="0"/>
        <v>0</v>
      </c>
    </row>
    <row r="61" spans="2:6" ht="14.25" thickTop="1" thickBot="1" x14ac:dyDescent="0.25">
      <c r="B61" s="410">
        <v>140000001</v>
      </c>
      <c r="C61" s="410">
        <v>170000000</v>
      </c>
      <c r="D61" s="410">
        <v>1039200</v>
      </c>
      <c r="E61" s="14">
        <f ca="1">GESTEP(B61,Resumen!$D$39)</f>
        <v>0</v>
      </c>
      <c r="F61" s="14">
        <f t="shared" ca="1" si="0"/>
        <v>0</v>
      </c>
    </row>
    <row r="62" spans="2:6" ht="14.25" thickTop="1" thickBot="1" x14ac:dyDescent="0.25">
      <c r="B62" s="410">
        <v>170000001</v>
      </c>
      <c r="C62" s="410">
        <v>220000000</v>
      </c>
      <c r="D62" s="410">
        <v>1298900</v>
      </c>
      <c r="E62" s="14">
        <f ca="1">GESTEP(B62,Resumen!$D$39)</f>
        <v>0</v>
      </c>
      <c r="F62" s="14">
        <f t="shared" ca="1" si="0"/>
        <v>0</v>
      </c>
    </row>
    <row r="63" spans="2:6" ht="14.25" thickTop="1" thickBot="1" x14ac:dyDescent="0.25">
      <c r="B63" s="410">
        <v>220000001</v>
      </c>
      <c r="C63" s="410">
        <v>300000000</v>
      </c>
      <c r="D63" s="410">
        <v>1558600</v>
      </c>
      <c r="E63" s="14">
        <f ca="1">GESTEP(B63,Resumen!$D$39)</f>
        <v>0</v>
      </c>
      <c r="F63" s="14">
        <f t="shared" ca="1" si="0"/>
        <v>0</v>
      </c>
    </row>
    <row r="64" spans="2:6" ht="14.25" thickTop="1" thickBot="1" x14ac:dyDescent="0.25">
      <c r="B64" s="410">
        <v>300000001</v>
      </c>
      <c r="C64" s="410">
        <v>500000000</v>
      </c>
      <c r="D64" s="410">
        <v>1929900</v>
      </c>
      <c r="E64" s="14">
        <f ca="1">GESTEP(B64,Resumen!$D$39)</f>
        <v>0</v>
      </c>
      <c r="F64" s="14">
        <f t="shared" ca="1" si="0"/>
        <v>1929900</v>
      </c>
    </row>
    <row r="65" spans="2:6" ht="14.25" thickTop="1" thickBot="1" x14ac:dyDescent="0.25">
      <c r="B65" s="410">
        <v>500000001</v>
      </c>
      <c r="C65" s="410">
        <v>1000000000</v>
      </c>
      <c r="D65" s="410">
        <v>2671800</v>
      </c>
      <c r="E65" s="14">
        <f ca="1">GESTEP(B65,Resumen!$D$39)</f>
        <v>1</v>
      </c>
      <c r="F65" s="14">
        <f t="shared" ca="1" si="0"/>
        <v>0</v>
      </c>
    </row>
    <row r="66" spans="2:6" ht="14.25" thickTop="1" thickBot="1" x14ac:dyDescent="0.25">
      <c r="B66" s="410">
        <v>1000000001</v>
      </c>
      <c r="C66" s="410">
        <v>99999999999</v>
      </c>
      <c r="D66" s="410">
        <v>3711000</v>
      </c>
      <c r="E66" s="14">
        <f ca="1">GESTEP(B66,Resumen!$D$39)</f>
        <v>1</v>
      </c>
      <c r="F66" s="14">
        <f t="shared" ca="1" si="0"/>
        <v>0</v>
      </c>
    </row>
    <row r="67" spans="2:6" ht="13.5" thickTop="1" x14ac:dyDescent="0.2">
      <c r="E67" s="14">
        <v>1</v>
      </c>
      <c r="F67" s="14">
        <f ca="1">SUM(F37:F66)</f>
        <v>1929900</v>
      </c>
    </row>
  </sheetData>
  <mergeCells count="1">
    <mergeCell ref="A1:B1"/>
  </mergeCells>
  <pageMargins left="0.74791666666666667" right="0.74791666666666667" top="0.98402777777777772" bottom="0.98402777777777772" header="0.51180555555555551" footer="0.51180555555555551"/>
  <pageSetup firstPageNumber="0" orientation="landscape" horizontalDpi="300" verticalDpi="300" r:id="rId1"/>
  <headerFooter alignWithMargins="0"/>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5"/>
  <sheetViews>
    <sheetView showGridLines="0" workbookViewId="0">
      <selection activeCell="D10" sqref="D10"/>
    </sheetView>
  </sheetViews>
  <sheetFormatPr baseColWidth="10" defaultRowHeight="12.75" x14ac:dyDescent="0.2"/>
  <cols>
    <col min="1" max="1" width="7.5703125" bestFit="1" customWidth="1"/>
    <col min="2" max="2" width="7.28515625" customWidth="1"/>
    <col min="3" max="3" width="7.42578125" bestFit="1" customWidth="1"/>
    <col min="4" max="4" width="8.28515625" bestFit="1" customWidth="1"/>
    <col min="5" max="5" width="7.5703125" customWidth="1"/>
    <col min="6" max="6" width="8.5703125" customWidth="1"/>
    <col min="7" max="7" width="8.140625" customWidth="1"/>
    <col min="8" max="8" width="4" customWidth="1"/>
    <col min="9" max="9" width="9.42578125" customWidth="1"/>
  </cols>
  <sheetData>
    <row r="1" spans="1:22" x14ac:dyDescent="0.2">
      <c r="A1" s="1"/>
      <c r="B1" s="1"/>
      <c r="C1" s="1"/>
      <c r="D1" s="1"/>
      <c r="E1" s="1"/>
      <c r="F1" s="1"/>
      <c r="G1" s="1"/>
      <c r="H1" s="1"/>
      <c r="I1" s="1"/>
      <c r="J1" s="1"/>
    </row>
    <row r="2" spans="1:22" x14ac:dyDescent="0.2">
      <c r="A2" s="1"/>
      <c r="B2" s="1"/>
      <c r="C2" s="1"/>
      <c r="D2" s="1"/>
      <c r="E2" s="1"/>
      <c r="F2" s="1"/>
      <c r="G2" s="1"/>
      <c r="H2" s="1"/>
      <c r="I2" s="1"/>
      <c r="J2" s="1"/>
    </row>
    <row r="3" spans="1:22" x14ac:dyDescent="0.2">
      <c r="A3" s="801" t="s">
        <v>200</v>
      </c>
      <c r="B3" s="801"/>
      <c r="C3" s="801"/>
      <c r="D3" s="801"/>
      <c r="E3" s="801"/>
      <c r="F3" s="801"/>
      <c r="G3" s="801"/>
      <c r="H3" s="801"/>
      <c r="I3" s="801"/>
      <c r="J3" s="1"/>
    </row>
    <row r="4" spans="1:22" x14ac:dyDescent="0.2">
      <c r="A4" s="3"/>
      <c r="B4" s="1"/>
      <c r="C4" s="1"/>
      <c r="D4" s="1"/>
      <c r="E4" s="1"/>
      <c r="F4" s="1"/>
      <c r="G4" s="1"/>
      <c r="H4" s="1"/>
      <c r="I4" s="1"/>
      <c r="J4" s="1"/>
    </row>
    <row r="5" spans="1:22" s="127" customFormat="1" ht="27" customHeight="1" x14ac:dyDescent="0.2">
      <c r="A5" s="966" t="s">
        <v>201</v>
      </c>
      <c r="B5" s="966"/>
      <c r="C5" s="966"/>
      <c r="D5" s="966"/>
      <c r="E5" s="966"/>
      <c r="F5" s="966"/>
      <c r="G5" s="966"/>
      <c r="H5" s="966"/>
      <c r="I5" s="966"/>
      <c r="J5" s="126"/>
    </row>
    <row r="6" spans="1:22" ht="12.75" customHeight="1" x14ac:dyDescent="0.2">
      <c r="A6" s="876" t="s">
        <v>202</v>
      </c>
      <c r="B6" s="876"/>
      <c r="C6" s="876"/>
      <c r="D6" s="876"/>
      <c r="E6" s="876"/>
      <c r="F6" s="876"/>
      <c r="G6" s="876"/>
      <c r="H6" s="876"/>
      <c r="I6" s="128">
        <v>160</v>
      </c>
      <c r="J6" s="1"/>
    </row>
    <row r="7" spans="1:22" ht="13.5" thickBot="1" x14ac:dyDescent="0.25">
      <c r="A7" s="185"/>
      <c r="B7" s="185"/>
      <c r="C7" s="185"/>
      <c r="D7" s="185"/>
      <c r="E7" s="185"/>
      <c r="F7" s="185"/>
      <c r="G7" s="185"/>
      <c r="H7" s="185"/>
      <c r="I7" s="185"/>
      <c r="J7" s="185"/>
      <c r="K7" s="185"/>
      <c r="L7" s="185"/>
      <c r="M7" s="185"/>
      <c r="N7" s="185"/>
      <c r="O7" s="185"/>
      <c r="P7" s="185"/>
      <c r="Q7" s="185"/>
      <c r="R7" s="185"/>
      <c r="S7" s="185"/>
      <c r="T7" s="185"/>
      <c r="U7" s="185"/>
      <c r="V7" s="185"/>
    </row>
    <row r="8" spans="1:22" s="129" customFormat="1" ht="13.5" thickBot="1" x14ac:dyDescent="0.25">
      <c r="A8" s="185"/>
      <c r="B8" s="185"/>
      <c r="C8" s="185"/>
      <c r="D8" s="288"/>
      <c r="E8" s="185"/>
      <c r="F8" s="908" t="s">
        <v>325</v>
      </c>
      <c r="G8" s="909"/>
      <c r="H8" s="890" t="s">
        <v>324</v>
      </c>
      <c r="I8" s="892"/>
      <c r="J8" s="892"/>
      <c r="K8" s="891"/>
      <c r="L8" s="908" t="s">
        <v>323</v>
      </c>
      <c r="M8" s="910"/>
      <c r="N8" s="910"/>
      <c r="O8" s="910"/>
      <c r="P8" s="910"/>
      <c r="Q8" s="910"/>
      <c r="R8" s="890" t="s">
        <v>322</v>
      </c>
      <c r="S8" s="892"/>
      <c r="T8" s="185"/>
      <c r="U8" s="185"/>
      <c r="V8" s="185"/>
    </row>
    <row r="9" spans="1:22" ht="13.5" thickBot="1" x14ac:dyDescent="0.25">
      <c r="A9" s="287"/>
      <c r="B9" s="287"/>
      <c r="C9" s="286" t="s">
        <v>168</v>
      </c>
      <c r="D9" s="412">
        <v>0</v>
      </c>
      <c r="E9" s="284"/>
      <c r="F9" s="911">
        <v>1</v>
      </c>
      <c r="G9" s="912"/>
      <c r="H9" s="913">
        <v>1</v>
      </c>
      <c r="I9" s="914"/>
      <c r="J9" s="913">
        <v>2</v>
      </c>
      <c r="K9" s="914"/>
      <c r="L9" s="913">
        <v>1</v>
      </c>
      <c r="M9" s="915"/>
      <c r="N9" s="913">
        <v>2</v>
      </c>
      <c r="O9" s="915"/>
      <c r="P9" s="913">
        <v>3</v>
      </c>
      <c r="Q9" s="916"/>
      <c r="R9" s="913">
        <v>1</v>
      </c>
      <c r="S9" s="916"/>
      <c r="T9" s="185"/>
      <c r="U9" s="185"/>
      <c r="V9" s="281"/>
    </row>
    <row r="10" spans="1:22" ht="14.25" x14ac:dyDescent="0.3">
      <c r="A10" s="280" t="s">
        <v>319</v>
      </c>
      <c r="B10" s="279">
        <v>0.11</v>
      </c>
      <c r="C10" s="278" t="s">
        <v>337</v>
      </c>
      <c r="D10" s="277">
        <f>D9*B10</f>
        <v>0</v>
      </c>
      <c r="E10" s="276">
        <f>D10</f>
        <v>0</v>
      </c>
      <c r="F10" s="274">
        <v>0.8</v>
      </c>
      <c r="G10" s="275">
        <f>E10*F10</f>
        <v>0</v>
      </c>
      <c r="H10" s="274">
        <v>0.15</v>
      </c>
      <c r="I10" s="273">
        <f>E10*H10</f>
        <v>0</v>
      </c>
      <c r="J10" s="274">
        <v>0.05</v>
      </c>
      <c r="K10" s="273">
        <f>E10*J10</f>
        <v>0</v>
      </c>
      <c r="L10" s="274"/>
      <c r="M10" s="273"/>
      <c r="N10" s="274"/>
      <c r="O10" s="273"/>
      <c r="P10" s="274"/>
      <c r="Q10" s="273"/>
      <c r="R10" s="274"/>
      <c r="S10" s="273"/>
      <c r="T10" s="194">
        <f>F10+H10+J10</f>
        <v>1</v>
      </c>
      <c r="U10" s="185"/>
      <c r="V10" s="185"/>
    </row>
    <row r="11" spans="1:22" ht="14.25" x14ac:dyDescent="0.3">
      <c r="A11" s="904" t="s">
        <v>336</v>
      </c>
      <c r="B11" s="271">
        <v>0.05</v>
      </c>
      <c r="C11" s="270" t="s">
        <v>203</v>
      </c>
      <c r="D11" s="269">
        <f>D9*B11</f>
        <v>0</v>
      </c>
      <c r="E11" s="918">
        <f>SUM(D11:D12)</f>
        <v>0</v>
      </c>
      <c r="F11" s="919">
        <v>0.35</v>
      </c>
      <c r="G11" s="922">
        <f>E11*F11</f>
        <v>0</v>
      </c>
      <c r="H11" s="919">
        <v>0.2</v>
      </c>
      <c r="I11" s="922">
        <f>E11*H11</f>
        <v>0</v>
      </c>
      <c r="J11" s="919">
        <v>0.23</v>
      </c>
      <c r="K11" s="922">
        <f>E11*J11</f>
        <v>0</v>
      </c>
      <c r="L11" s="919">
        <v>0.22</v>
      </c>
      <c r="M11" s="922">
        <f>E11*L11</f>
        <v>0</v>
      </c>
      <c r="N11" s="919">
        <v>0</v>
      </c>
      <c r="O11" s="922">
        <f>E11*N11</f>
        <v>0</v>
      </c>
      <c r="P11" s="919"/>
      <c r="Q11" s="922">
        <f>E11*P11</f>
        <v>0</v>
      </c>
      <c r="R11" s="917"/>
      <c r="S11" s="905">
        <f>E11*R11</f>
        <v>0</v>
      </c>
      <c r="T11" s="194">
        <f>F11+H11+J11+L11+N11</f>
        <v>1</v>
      </c>
      <c r="U11" s="185"/>
      <c r="V11" s="185"/>
    </row>
    <row r="12" spans="1:22" ht="14.25" x14ac:dyDescent="0.3">
      <c r="A12" s="904"/>
      <c r="B12" s="271">
        <v>0.06</v>
      </c>
      <c r="C12" s="270" t="s">
        <v>204</v>
      </c>
      <c r="D12" s="269">
        <f>D9*B12</f>
        <v>0</v>
      </c>
      <c r="E12" s="918"/>
      <c r="F12" s="921"/>
      <c r="G12" s="924"/>
      <c r="H12" s="921"/>
      <c r="I12" s="924"/>
      <c r="J12" s="921"/>
      <c r="K12" s="924"/>
      <c r="L12" s="921"/>
      <c r="M12" s="924"/>
      <c r="N12" s="921"/>
      <c r="O12" s="924"/>
      <c r="P12" s="921"/>
      <c r="Q12" s="924"/>
      <c r="R12" s="917"/>
      <c r="S12" s="905"/>
      <c r="T12" s="194"/>
      <c r="U12" s="185"/>
      <c r="V12" s="185"/>
    </row>
    <row r="13" spans="1:22" ht="14.25" x14ac:dyDescent="0.3">
      <c r="A13" s="904" t="s">
        <v>560</v>
      </c>
      <c r="B13" s="271">
        <v>0.24</v>
      </c>
      <c r="C13" s="270" t="s">
        <v>334</v>
      </c>
      <c r="D13" s="269">
        <f>D9*B13</f>
        <v>0</v>
      </c>
      <c r="E13" s="918">
        <f>SUM(D13:D17)</f>
        <v>0</v>
      </c>
      <c r="F13" s="919">
        <v>0</v>
      </c>
      <c r="G13" s="922">
        <f>E13*F13</f>
        <v>0</v>
      </c>
      <c r="H13" s="919">
        <v>0.1</v>
      </c>
      <c r="I13" s="922">
        <f>E13*H13</f>
        <v>0</v>
      </c>
      <c r="J13" s="919">
        <v>0.12</v>
      </c>
      <c r="K13" s="922">
        <f>E13*J13</f>
        <v>0</v>
      </c>
      <c r="L13" s="919">
        <v>0.26</v>
      </c>
      <c r="M13" s="922">
        <f>E13*L13</f>
        <v>0</v>
      </c>
      <c r="N13" s="919">
        <v>0.26</v>
      </c>
      <c r="O13" s="922">
        <f>E13*N13</f>
        <v>0</v>
      </c>
      <c r="P13" s="919">
        <v>0.26</v>
      </c>
      <c r="Q13" s="922">
        <f>E13*P13</f>
        <v>0</v>
      </c>
      <c r="R13" s="917"/>
      <c r="S13" s="905">
        <f>E13*R13</f>
        <v>0</v>
      </c>
      <c r="T13" s="194">
        <f>F13+H13+J13+L13+N13+P13</f>
        <v>1</v>
      </c>
      <c r="U13" s="185"/>
      <c r="V13" s="185"/>
    </row>
    <row r="14" spans="1:22" ht="14.25" x14ac:dyDescent="0.3">
      <c r="A14" s="904"/>
      <c r="B14" s="271">
        <v>0.08</v>
      </c>
      <c r="C14" s="270" t="s">
        <v>333</v>
      </c>
      <c r="D14" s="269">
        <f>D9*B14</f>
        <v>0</v>
      </c>
      <c r="E14" s="918"/>
      <c r="F14" s="920"/>
      <c r="G14" s="923"/>
      <c r="H14" s="920"/>
      <c r="I14" s="923"/>
      <c r="J14" s="920"/>
      <c r="K14" s="923"/>
      <c r="L14" s="920"/>
      <c r="M14" s="923"/>
      <c r="N14" s="920"/>
      <c r="O14" s="923"/>
      <c r="P14" s="920"/>
      <c r="Q14" s="923"/>
      <c r="R14" s="917"/>
      <c r="S14" s="905"/>
      <c r="T14" s="194"/>
      <c r="U14" s="185"/>
      <c r="V14" s="185"/>
    </row>
    <row r="15" spans="1:22" ht="14.25" x14ac:dyDescent="0.3">
      <c r="A15" s="904"/>
      <c r="B15" s="271">
        <v>0.02</v>
      </c>
      <c r="C15" s="270" t="s">
        <v>332</v>
      </c>
      <c r="D15" s="269">
        <f>D9*B15</f>
        <v>0</v>
      </c>
      <c r="E15" s="918"/>
      <c r="F15" s="920"/>
      <c r="G15" s="923"/>
      <c r="H15" s="920"/>
      <c r="I15" s="923"/>
      <c r="J15" s="920"/>
      <c r="K15" s="923"/>
      <c r="L15" s="920"/>
      <c r="M15" s="923"/>
      <c r="N15" s="920"/>
      <c r="O15" s="923"/>
      <c r="P15" s="920"/>
      <c r="Q15" s="923"/>
      <c r="R15" s="917"/>
      <c r="S15" s="905"/>
      <c r="T15" s="194"/>
      <c r="U15" s="185"/>
      <c r="V15" s="185"/>
    </row>
    <row r="16" spans="1:22" ht="14.25" x14ac:dyDescent="0.3">
      <c r="A16" s="904"/>
      <c r="B16" s="271">
        <v>0.1</v>
      </c>
      <c r="C16" s="270" t="s">
        <v>331</v>
      </c>
      <c r="D16" s="269">
        <f>D9*B16</f>
        <v>0</v>
      </c>
      <c r="E16" s="918"/>
      <c r="F16" s="920"/>
      <c r="G16" s="923"/>
      <c r="H16" s="920"/>
      <c r="I16" s="923"/>
      <c r="J16" s="920"/>
      <c r="K16" s="923"/>
      <c r="L16" s="920"/>
      <c r="M16" s="923"/>
      <c r="N16" s="920"/>
      <c r="O16" s="923"/>
      <c r="P16" s="920"/>
      <c r="Q16" s="923"/>
      <c r="R16" s="917"/>
      <c r="S16" s="905"/>
      <c r="T16" s="194"/>
      <c r="U16" s="185"/>
      <c r="V16" s="185"/>
    </row>
    <row r="17" spans="1:22" ht="27" x14ac:dyDescent="0.3">
      <c r="A17" s="904"/>
      <c r="B17" s="271">
        <v>0.03</v>
      </c>
      <c r="C17" s="270" t="s">
        <v>330</v>
      </c>
      <c r="D17" s="269">
        <f>D9*B17</f>
        <v>0</v>
      </c>
      <c r="E17" s="918"/>
      <c r="F17" s="921"/>
      <c r="G17" s="924"/>
      <c r="H17" s="921"/>
      <c r="I17" s="924"/>
      <c r="J17" s="921"/>
      <c r="K17" s="924"/>
      <c r="L17" s="921"/>
      <c r="M17" s="924"/>
      <c r="N17" s="921"/>
      <c r="O17" s="924"/>
      <c r="P17" s="921"/>
      <c r="Q17" s="924"/>
      <c r="R17" s="917"/>
      <c r="S17" s="905"/>
      <c r="T17" s="194"/>
      <c r="U17" s="185"/>
      <c r="V17" s="185"/>
    </row>
    <row r="18" spans="1:22" ht="27" x14ac:dyDescent="0.3">
      <c r="A18" s="904" t="s">
        <v>205</v>
      </c>
      <c r="B18" s="272">
        <v>0.12</v>
      </c>
      <c r="C18" s="270" t="s">
        <v>329</v>
      </c>
      <c r="D18" s="269">
        <f>D9*B18</f>
        <v>0</v>
      </c>
      <c r="E18" s="918">
        <f>SUM(D18:D20)</f>
        <v>0</v>
      </c>
      <c r="F18" s="919">
        <v>0</v>
      </c>
      <c r="G18" s="922">
        <f>E18*F18</f>
        <v>0</v>
      </c>
      <c r="H18" s="919">
        <v>0.05</v>
      </c>
      <c r="I18" s="922">
        <f>E18*H18</f>
        <v>0</v>
      </c>
      <c r="J18" s="919">
        <v>0.1</v>
      </c>
      <c r="K18" s="922">
        <f>E18*J18</f>
        <v>0</v>
      </c>
      <c r="L18" s="919">
        <v>0.2</v>
      </c>
      <c r="M18" s="922">
        <f>E18*L18</f>
        <v>0</v>
      </c>
      <c r="N18" s="919">
        <v>0.2</v>
      </c>
      <c r="O18" s="922">
        <f>E18*N18</f>
        <v>0</v>
      </c>
      <c r="P18" s="919">
        <v>0.2</v>
      </c>
      <c r="Q18" s="922">
        <f>E18*P18</f>
        <v>0</v>
      </c>
      <c r="R18" s="917">
        <v>0.25</v>
      </c>
      <c r="S18" s="905">
        <f>E18*R18</f>
        <v>0</v>
      </c>
      <c r="T18" s="194">
        <f>H18+J18+L18+N18+P18+R18</f>
        <v>1</v>
      </c>
      <c r="U18" s="185"/>
      <c r="V18" s="185"/>
    </row>
    <row r="19" spans="1:22" ht="27" x14ac:dyDescent="0.3">
      <c r="A19" s="904"/>
      <c r="B19" s="271">
        <v>0.14000000000000001</v>
      </c>
      <c r="C19" s="270" t="s">
        <v>328</v>
      </c>
      <c r="D19" s="269">
        <f>D9*B19</f>
        <v>0</v>
      </c>
      <c r="E19" s="918"/>
      <c r="F19" s="920"/>
      <c r="G19" s="923"/>
      <c r="H19" s="920"/>
      <c r="I19" s="923"/>
      <c r="J19" s="920"/>
      <c r="K19" s="923"/>
      <c r="L19" s="920"/>
      <c r="M19" s="923"/>
      <c r="N19" s="920"/>
      <c r="O19" s="923"/>
      <c r="P19" s="920"/>
      <c r="Q19" s="923"/>
      <c r="R19" s="917"/>
      <c r="S19" s="905"/>
      <c r="T19" s="194"/>
      <c r="U19" s="185"/>
      <c r="V19" s="185"/>
    </row>
    <row r="20" spans="1:22" ht="27.75" thickBot="1" x14ac:dyDescent="0.35">
      <c r="A20" s="906"/>
      <c r="B20" s="268">
        <v>0.05</v>
      </c>
      <c r="C20" s="267" t="s">
        <v>327</v>
      </c>
      <c r="D20" s="266">
        <f>D9*B20</f>
        <v>0</v>
      </c>
      <c r="E20" s="963"/>
      <c r="F20" s="964"/>
      <c r="G20" s="965"/>
      <c r="H20" s="964"/>
      <c r="I20" s="965"/>
      <c r="J20" s="964"/>
      <c r="K20" s="965"/>
      <c r="L20" s="964"/>
      <c r="M20" s="965"/>
      <c r="N20" s="964"/>
      <c r="O20" s="965"/>
      <c r="P20" s="964"/>
      <c r="Q20" s="965"/>
      <c r="R20" s="962"/>
      <c r="S20" s="907"/>
      <c r="T20" s="194"/>
      <c r="U20" s="185"/>
      <c r="V20" s="185"/>
    </row>
    <row r="21" spans="1:22" ht="13.5" thickBot="1" x14ac:dyDescent="0.25">
      <c r="A21" s="231"/>
      <c r="B21" s="231"/>
      <c r="C21" s="231"/>
      <c r="D21" s="231"/>
      <c r="E21" s="231"/>
      <c r="F21" s="231"/>
      <c r="G21" s="231"/>
      <c r="H21" s="265"/>
      <c r="I21" s="231"/>
      <c r="J21" s="265"/>
      <c r="K21" s="231"/>
      <c r="L21" s="265"/>
      <c r="M21" s="231"/>
      <c r="N21" s="265"/>
      <c r="O21" s="231"/>
      <c r="P21" s="265"/>
      <c r="Q21" s="231"/>
      <c r="R21" s="265"/>
      <c r="S21" s="231"/>
      <c r="T21" s="185"/>
      <c r="U21" s="185"/>
      <c r="V21" s="185"/>
    </row>
    <row r="22" spans="1:22" ht="13.5" thickBot="1" x14ac:dyDescent="0.25">
      <c r="A22" s="231"/>
      <c r="B22" s="231"/>
      <c r="C22" s="231"/>
      <c r="D22" s="888" t="s">
        <v>326</v>
      </c>
      <c r="E22" s="889"/>
      <c r="F22" s="890" t="s">
        <v>325</v>
      </c>
      <c r="G22" s="891"/>
      <c r="H22" s="890" t="s">
        <v>324</v>
      </c>
      <c r="I22" s="892"/>
      <c r="J22" s="892"/>
      <c r="K22" s="891"/>
      <c r="L22" s="890" t="s">
        <v>323</v>
      </c>
      <c r="M22" s="892"/>
      <c r="N22" s="892"/>
      <c r="O22" s="892"/>
      <c r="P22" s="892"/>
      <c r="Q22" s="891"/>
      <c r="R22" s="890" t="s">
        <v>322</v>
      </c>
      <c r="S22" s="892"/>
      <c r="T22" s="185"/>
      <c r="U22" s="185"/>
      <c r="V22" s="185"/>
    </row>
    <row r="23" spans="1:22" ht="13.5" thickBot="1" x14ac:dyDescent="0.25">
      <c r="A23" s="231"/>
      <c r="B23" s="231"/>
      <c r="C23" s="231"/>
      <c r="D23" s="954" t="s">
        <v>321</v>
      </c>
      <c r="E23" s="955"/>
      <c r="F23" s="890">
        <v>1</v>
      </c>
      <c r="G23" s="891"/>
      <c r="H23" s="956">
        <v>1</v>
      </c>
      <c r="I23" s="957"/>
      <c r="J23" s="956">
        <v>2</v>
      </c>
      <c r="K23" s="957"/>
      <c r="L23" s="956">
        <v>1</v>
      </c>
      <c r="M23" s="958"/>
      <c r="N23" s="959">
        <v>2</v>
      </c>
      <c r="O23" s="958"/>
      <c r="P23" s="959">
        <v>3</v>
      </c>
      <c r="Q23" s="957"/>
      <c r="R23" s="960">
        <v>1</v>
      </c>
      <c r="S23" s="961"/>
      <c r="T23" s="185"/>
      <c r="U23" s="185"/>
      <c r="V23" s="189"/>
    </row>
    <row r="24" spans="1:22" ht="12.75" customHeight="1" x14ac:dyDescent="0.2">
      <c r="A24" s="231"/>
      <c r="B24" s="231"/>
      <c r="C24" s="877" t="s">
        <v>320</v>
      </c>
      <c r="D24" s="880" t="s">
        <v>319</v>
      </c>
      <c r="E24" s="881"/>
      <c r="F24" s="264">
        <v>5.9</v>
      </c>
      <c r="G24" s="263">
        <f>G10/F24/D35</f>
        <v>0</v>
      </c>
      <c r="H24" s="262">
        <v>1.25</v>
      </c>
      <c r="I24" s="261">
        <f>I10/H24/D35</f>
        <v>0</v>
      </c>
      <c r="J24" s="262">
        <v>0.4</v>
      </c>
      <c r="K24" s="261">
        <f>K10/J24/D35</f>
        <v>0</v>
      </c>
      <c r="L24" s="259"/>
      <c r="M24" s="258"/>
      <c r="N24" s="260"/>
      <c r="O24" s="258"/>
      <c r="P24" s="260"/>
      <c r="Q24" s="258"/>
      <c r="R24" s="259"/>
      <c r="S24" s="258"/>
      <c r="T24" s="185"/>
      <c r="U24" s="185"/>
      <c r="V24" s="185"/>
    </row>
    <row r="25" spans="1:22" x14ac:dyDescent="0.2">
      <c r="A25" s="231"/>
      <c r="B25" s="231"/>
      <c r="C25" s="878"/>
      <c r="D25" s="882" t="s">
        <v>318</v>
      </c>
      <c r="E25" s="883"/>
      <c r="F25" s="255">
        <v>2.5499999999999998</v>
      </c>
      <c r="G25" s="257">
        <f>G11/F25/D35</f>
        <v>0</v>
      </c>
      <c r="H25" s="248">
        <v>1.65</v>
      </c>
      <c r="I25" s="256">
        <f>I11/H25/D35</f>
        <v>0</v>
      </c>
      <c r="J25" s="248">
        <v>1.8</v>
      </c>
      <c r="K25" s="256">
        <f>K11/J25/D35</f>
        <v>0</v>
      </c>
      <c r="L25" s="252">
        <v>1.2</v>
      </c>
      <c r="M25" s="256">
        <f>M11/L25/D35</f>
        <v>0</v>
      </c>
      <c r="N25" s="253"/>
      <c r="O25" s="256"/>
      <c r="P25" s="253"/>
      <c r="Q25" s="256"/>
      <c r="R25" s="252"/>
      <c r="S25" s="256"/>
      <c r="T25" s="185"/>
      <c r="U25" s="185"/>
      <c r="V25" s="185"/>
    </row>
    <row r="26" spans="1:22" x14ac:dyDescent="0.2">
      <c r="A26" s="231"/>
      <c r="B26" s="231"/>
      <c r="C26" s="878"/>
      <c r="D26" s="884" t="s">
        <v>317</v>
      </c>
      <c r="E26" s="885"/>
      <c r="F26" s="255">
        <v>0</v>
      </c>
      <c r="G26" s="254"/>
      <c r="H26" s="248">
        <v>3.45</v>
      </c>
      <c r="I26" s="251">
        <f>I13/H26/D35</f>
        <v>0</v>
      </c>
      <c r="J26" s="248">
        <v>4</v>
      </c>
      <c r="K26" s="251">
        <f>K13/J26/D35</f>
        <v>0</v>
      </c>
      <c r="L26" s="252">
        <v>6</v>
      </c>
      <c r="M26" s="251">
        <f>M13/L26/D35</f>
        <v>0</v>
      </c>
      <c r="N26" s="253">
        <v>6</v>
      </c>
      <c r="O26" s="251">
        <f>O13/N26/D35</f>
        <v>0</v>
      </c>
      <c r="P26" s="253">
        <v>6</v>
      </c>
      <c r="Q26" s="251">
        <f>Q13/P26/D35</f>
        <v>0</v>
      </c>
      <c r="R26" s="252"/>
      <c r="S26" s="251"/>
      <c r="T26" s="185"/>
      <c r="U26" s="185"/>
      <c r="V26" s="185"/>
    </row>
    <row r="27" spans="1:22" ht="13.5" thickBot="1" x14ac:dyDescent="0.25">
      <c r="A27" s="231"/>
      <c r="B27" s="231"/>
      <c r="C27" s="879"/>
      <c r="D27" s="886" t="s">
        <v>205</v>
      </c>
      <c r="E27" s="887"/>
      <c r="F27" s="250">
        <v>0</v>
      </c>
      <c r="G27" s="249"/>
      <c r="H27" s="248">
        <v>1.2</v>
      </c>
      <c r="I27" s="245">
        <f>I18/H27/(D35)</f>
        <v>0</v>
      </c>
      <c r="J27" s="248">
        <v>2.2999999999999998</v>
      </c>
      <c r="K27" s="245">
        <f>K18/J27/(D35)</f>
        <v>0</v>
      </c>
      <c r="L27" s="246">
        <v>3</v>
      </c>
      <c r="M27" s="245">
        <f>M18/L27/(D35)</f>
        <v>0</v>
      </c>
      <c r="N27" s="247">
        <v>3</v>
      </c>
      <c r="O27" s="245">
        <f>O18/N27/(D35)</f>
        <v>0</v>
      </c>
      <c r="P27" s="247">
        <v>3</v>
      </c>
      <c r="Q27" s="245">
        <f>Q18/P27/(D35)</f>
        <v>0</v>
      </c>
      <c r="R27" s="246">
        <v>5</v>
      </c>
      <c r="S27" s="245">
        <f>S18/R27/(D35)</f>
        <v>0</v>
      </c>
      <c r="T27" s="185"/>
      <c r="U27" s="185"/>
      <c r="V27" s="244"/>
    </row>
    <row r="28" spans="1:22" ht="13.5" thickBot="1" x14ac:dyDescent="0.25">
      <c r="A28" s="231"/>
      <c r="B28" s="231"/>
      <c r="C28" s="231"/>
      <c r="D28" s="950" t="s">
        <v>316</v>
      </c>
      <c r="E28" s="951"/>
      <c r="F28" s="239">
        <f>SUM(F24:F27)</f>
        <v>8.4499999999999993</v>
      </c>
      <c r="G28" s="232"/>
      <c r="H28" s="237">
        <f>SUM(H24:H27)</f>
        <v>7.55</v>
      </c>
      <c r="I28" s="234"/>
      <c r="J28" s="237">
        <f>SUM(J24:J27)</f>
        <v>8.5</v>
      </c>
      <c r="K28" s="234"/>
      <c r="L28" s="235">
        <f>SUM(L24:L27)</f>
        <v>10.199999999999999</v>
      </c>
      <c r="M28" s="234"/>
      <c r="N28" s="235">
        <f>SUM(N24:N27)</f>
        <v>9</v>
      </c>
      <c r="O28" s="234"/>
      <c r="P28" s="235">
        <f>SUM(P24:P27)</f>
        <v>9</v>
      </c>
      <c r="Q28" s="234"/>
      <c r="R28" s="235">
        <f>SUM(R24:R27)</f>
        <v>5</v>
      </c>
      <c r="S28" s="234"/>
      <c r="T28" s="185"/>
      <c r="U28" s="185"/>
      <c r="V28" s="185"/>
    </row>
    <row r="29" spans="1:22" ht="13.5" thickBot="1" x14ac:dyDescent="0.25">
      <c r="A29" s="231"/>
      <c r="B29" s="231"/>
      <c r="C29" s="231"/>
      <c r="D29" s="243" t="s">
        <v>315</v>
      </c>
      <c r="E29" s="242"/>
      <c r="F29" s="239"/>
      <c r="G29" s="238">
        <f>MAX(G24:G27)/5</f>
        <v>0</v>
      </c>
      <c r="H29" s="237"/>
      <c r="I29" s="236">
        <f>(MAX(I24:I27)/5)</f>
        <v>0</v>
      </c>
      <c r="J29" s="237"/>
      <c r="K29" s="236">
        <f>(MAX(K24:K27)/5)</f>
        <v>0</v>
      </c>
      <c r="L29" s="235"/>
      <c r="M29" s="236">
        <f>(MAX(M24:M27)/5)</f>
        <v>0</v>
      </c>
      <c r="N29" s="235"/>
      <c r="O29" s="236">
        <f>MAX(O24:O27)/5</f>
        <v>0</v>
      </c>
      <c r="P29" s="235"/>
      <c r="Q29" s="236">
        <f>MAX(Q24:Q27)/5</f>
        <v>0</v>
      </c>
      <c r="R29" s="235"/>
      <c r="S29" s="234">
        <f>MAX(S24:S27)/5</f>
        <v>0</v>
      </c>
      <c r="T29" s="185"/>
      <c r="U29" s="185"/>
      <c r="V29" s="185"/>
    </row>
    <row r="30" spans="1:22" ht="13.5" thickBot="1" x14ac:dyDescent="0.25">
      <c r="A30" s="231"/>
      <c r="B30" s="231"/>
      <c r="C30" s="231"/>
      <c r="D30" s="952" t="s">
        <v>314</v>
      </c>
      <c r="E30" s="953"/>
      <c r="F30" s="233"/>
      <c r="G30" s="232">
        <f>MAX(G24:G27)</f>
        <v>0</v>
      </c>
      <c r="H30" s="233"/>
      <c r="I30" s="232">
        <f>MAX(I24:I27)</f>
        <v>0</v>
      </c>
      <c r="J30" s="233"/>
      <c r="K30" s="232">
        <f>MAX(K24:K27)</f>
        <v>0</v>
      </c>
      <c r="L30" s="233"/>
      <c r="M30" s="232">
        <f>MAX(M24:M27)</f>
        <v>0</v>
      </c>
      <c r="N30" s="233"/>
      <c r="O30" s="232">
        <f>MAX(O24:O27)</f>
        <v>0</v>
      </c>
      <c r="P30" s="233"/>
      <c r="Q30" s="232">
        <f>MAX(Q24:Q27)</f>
        <v>0</v>
      </c>
      <c r="R30" s="233"/>
      <c r="S30" s="232">
        <f>MAX(S24:S27)</f>
        <v>0</v>
      </c>
      <c r="T30" s="185"/>
      <c r="U30" s="185"/>
      <c r="V30" s="185"/>
    </row>
    <row r="31" spans="1:22" ht="13.5" thickBot="1" x14ac:dyDescent="0.25">
      <c r="A31" s="231"/>
      <c r="B31" s="231"/>
      <c r="C31" s="231"/>
      <c r="D31" s="230" t="s">
        <v>287</v>
      </c>
      <c r="E31" s="229"/>
      <c r="F31" s="937">
        <f>SUM(F30:G30)</f>
        <v>0</v>
      </c>
      <c r="G31" s="938"/>
      <c r="H31" s="939">
        <f>SUM(H30:K30)</f>
        <v>0</v>
      </c>
      <c r="I31" s="940"/>
      <c r="J31" s="940"/>
      <c r="K31" s="941"/>
      <c r="L31" s="937">
        <f>SUM(L30:Q30)</f>
        <v>0</v>
      </c>
      <c r="M31" s="942"/>
      <c r="N31" s="942"/>
      <c r="O31" s="942"/>
      <c r="P31" s="942"/>
      <c r="Q31" s="942"/>
      <c r="R31" s="937">
        <f>SUM(R30:S30)</f>
        <v>0</v>
      </c>
      <c r="S31" s="942"/>
      <c r="T31" s="228">
        <f>SUM(F31:S31)</f>
        <v>0</v>
      </c>
      <c r="U31" s="185"/>
      <c r="V31" s="185"/>
    </row>
    <row r="32" spans="1:22" ht="13.5" thickBot="1" x14ac:dyDescent="0.25">
      <c r="A32" s="185"/>
      <c r="B32" s="185"/>
      <c r="C32" s="185"/>
      <c r="D32" s="227" t="s">
        <v>273</v>
      </c>
      <c r="E32" s="283"/>
      <c r="F32" s="943">
        <f>F31/20</f>
        <v>0</v>
      </c>
      <c r="G32" s="944"/>
      <c r="H32" s="945">
        <f>H31/20</f>
        <v>0</v>
      </c>
      <c r="I32" s="946"/>
      <c r="J32" s="946"/>
      <c r="K32" s="947"/>
      <c r="L32" s="948">
        <f>L31/20</f>
        <v>0</v>
      </c>
      <c r="M32" s="949"/>
      <c r="N32" s="949"/>
      <c r="O32" s="949"/>
      <c r="P32" s="949"/>
      <c r="Q32" s="949"/>
      <c r="R32" s="948">
        <f>R31/20</f>
        <v>0</v>
      </c>
      <c r="S32" s="949"/>
      <c r="T32" s="225">
        <f>SUM(F32:S32)</f>
        <v>0</v>
      </c>
      <c r="U32" s="185"/>
      <c r="V32" s="185"/>
    </row>
    <row r="33" spans="1:22" x14ac:dyDescent="0.2">
      <c r="A33" s="185"/>
      <c r="B33" s="185"/>
      <c r="C33" s="185"/>
      <c r="D33" s="185"/>
      <c r="E33" s="185"/>
      <c r="F33" s="190" t="s">
        <v>313</v>
      </c>
      <c r="G33" s="190" t="s">
        <v>273</v>
      </c>
      <c r="H33" s="185"/>
      <c r="I33" s="185"/>
      <c r="J33" s="185"/>
      <c r="K33" s="185"/>
      <c r="L33" s="185"/>
      <c r="M33" s="185"/>
      <c r="N33" s="185"/>
      <c r="O33" s="185"/>
      <c r="P33" s="185"/>
      <c r="Q33" s="185"/>
      <c r="R33" s="185"/>
      <c r="S33" s="185"/>
      <c r="T33" s="185"/>
      <c r="U33" s="185"/>
      <c r="V33" s="185"/>
    </row>
    <row r="34" spans="1:22" ht="13.5" thickBot="1" x14ac:dyDescent="0.25">
      <c r="A34" s="185"/>
      <c r="B34" s="185"/>
      <c r="C34" s="185"/>
      <c r="D34" s="185"/>
      <c r="E34" s="185"/>
      <c r="F34" s="224">
        <f>F31+I24+K24</f>
        <v>0</v>
      </c>
      <c r="G34" s="190">
        <f>F34/20</f>
        <v>0</v>
      </c>
      <c r="H34" s="185"/>
      <c r="I34" s="185"/>
      <c r="J34" s="185"/>
      <c r="K34" s="185"/>
      <c r="L34" s="185"/>
      <c r="M34" s="185"/>
      <c r="N34" s="185"/>
      <c r="O34" s="185"/>
      <c r="P34" s="185"/>
      <c r="Q34" s="185"/>
      <c r="R34" s="185"/>
      <c r="S34" s="185"/>
      <c r="T34" s="185"/>
      <c r="U34" s="185"/>
      <c r="V34" s="185"/>
    </row>
    <row r="35" spans="1:22" ht="13.5" thickBot="1" x14ac:dyDescent="0.25">
      <c r="A35" s="185"/>
      <c r="B35" s="890" t="s">
        <v>312</v>
      </c>
      <c r="C35" s="891"/>
      <c r="D35" s="282">
        <v>8</v>
      </c>
      <c r="E35" s="185"/>
      <c r="F35" s="222">
        <v>2</v>
      </c>
      <c r="G35" s="222">
        <v>2</v>
      </c>
      <c r="H35" s="222">
        <v>9</v>
      </c>
      <c r="I35" s="221">
        <v>8</v>
      </c>
      <c r="J35" s="221">
        <v>10</v>
      </c>
      <c r="K35" s="221">
        <v>10</v>
      </c>
      <c r="L35" s="221">
        <v>10</v>
      </c>
      <c r="M35" s="221">
        <v>8</v>
      </c>
      <c r="N35" s="221">
        <v>8</v>
      </c>
      <c r="O35" s="221"/>
      <c r="P35" s="221"/>
      <c r="Q35" s="221"/>
      <c r="R35" s="185"/>
      <c r="S35" s="185"/>
      <c r="T35" s="185"/>
      <c r="U35" s="185"/>
      <c r="V35" s="185"/>
    </row>
    <row r="36" spans="1:22" ht="13.5" thickBot="1" x14ac:dyDescent="0.25">
      <c r="A36" s="185"/>
      <c r="B36" s="890" t="s">
        <v>311</v>
      </c>
      <c r="C36" s="891"/>
      <c r="D36" s="219">
        <f>G29+I29+K29+M29+O29+Q29+S29</f>
        <v>0</v>
      </c>
      <c r="E36" s="185"/>
      <c r="F36" s="185"/>
      <c r="G36" s="185"/>
      <c r="H36" s="185"/>
      <c r="I36" s="185"/>
      <c r="J36" s="185"/>
      <c r="K36" s="185"/>
      <c r="L36" s="185"/>
      <c r="M36" s="185"/>
      <c r="N36" s="185"/>
      <c r="O36" s="185"/>
      <c r="P36" s="185"/>
      <c r="Q36" s="220"/>
      <c r="R36" s="185"/>
      <c r="S36" s="185"/>
      <c r="T36" s="185"/>
      <c r="U36" s="185"/>
      <c r="V36" s="185"/>
    </row>
    <row r="37" spans="1:22" ht="13.5" thickBot="1" x14ac:dyDescent="0.25">
      <c r="A37" s="185"/>
      <c r="B37" s="890" t="s">
        <v>310</v>
      </c>
      <c r="C37" s="891"/>
      <c r="D37" s="219">
        <f>D36/4</f>
        <v>0</v>
      </c>
      <c r="E37" s="185"/>
      <c r="F37" s="185"/>
      <c r="G37" s="185"/>
      <c r="H37" s="185"/>
      <c r="I37" s="185"/>
      <c r="J37" s="185"/>
      <c r="K37" s="185"/>
      <c r="L37" s="185"/>
      <c r="M37" s="185"/>
      <c r="N37" s="185"/>
      <c r="O37" s="185"/>
      <c r="P37" s="185"/>
      <c r="Q37" s="185"/>
      <c r="R37" s="185"/>
      <c r="S37" s="185"/>
      <c r="T37" s="185"/>
      <c r="U37" s="185"/>
      <c r="V37" s="185"/>
    </row>
    <row r="38" spans="1:22" ht="15.75" customHeight="1" x14ac:dyDescent="0.25">
      <c r="A38" s="185"/>
      <c r="B38" s="185"/>
      <c r="C38" s="185"/>
      <c r="D38" s="185"/>
      <c r="E38" s="185"/>
      <c r="F38" s="185"/>
      <c r="G38" s="185"/>
      <c r="H38" s="185"/>
      <c r="I38" s="185"/>
      <c r="J38" s="925" t="s">
        <v>309</v>
      </c>
      <c r="K38" s="925"/>
      <c r="L38" s="185"/>
      <c r="M38" s="895" t="s">
        <v>308</v>
      </c>
      <c r="N38" s="896"/>
      <c r="O38" s="202">
        <v>1</v>
      </c>
      <c r="P38" s="199">
        <f>+T38</f>
        <v>22</v>
      </c>
      <c r="Q38" s="184"/>
      <c r="R38" s="185"/>
      <c r="S38" s="185"/>
      <c r="T38" s="195">
        <v>22</v>
      </c>
      <c r="U38" s="185"/>
      <c r="V38" s="185"/>
    </row>
    <row r="39" spans="1:22" ht="15" x14ac:dyDescent="0.2">
      <c r="A39" s="185"/>
      <c r="B39" s="185"/>
      <c r="C39" s="185"/>
      <c r="D39" s="927" t="s">
        <v>206</v>
      </c>
      <c r="E39" s="927"/>
      <c r="F39" s="927"/>
      <c r="G39" s="927"/>
      <c r="H39" s="218"/>
      <c r="I39" s="218"/>
      <c r="J39" s="928">
        <f>F28*G29</f>
        <v>0</v>
      </c>
      <c r="K39" s="928"/>
      <c r="L39" s="185"/>
      <c r="M39" s="900" t="s">
        <v>307</v>
      </c>
      <c r="N39" s="901"/>
      <c r="O39" s="206"/>
      <c r="P39" s="199"/>
      <c r="Q39" s="185">
        <v>1</v>
      </c>
      <c r="R39" s="184" t="s">
        <v>306</v>
      </c>
      <c r="S39" s="209">
        <v>1</v>
      </c>
      <c r="T39" s="205">
        <v>3</v>
      </c>
      <c r="U39" s="185">
        <f>+S39*T39*Q39</f>
        <v>3</v>
      </c>
      <c r="V39" s="185"/>
    </row>
    <row r="40" spans="1:22" ht="15" x14ac:dyDescent="0.2">
      <c r="A40" s="185"/>
      <c r="B40" s="185"/>
      <c r="C40" s="185"/>
      <c r="D40" s="931" t="s">
        <v>207</v>
      </c>
      <c r="E40" s="932"/>
      <c r="F40" s="932"/>
      <c r="G40" s="933"/>
      <c r="H40" s="218"/>
      <c r="I40" s="218"/>
      <c r="J40" s="928">
        <f>H28*I29</f>
        <v>0</v>
      </c>
      <c r="K40" s="928"/>
      <c r="L40" s="185"/>
      <c r="M40" s="901"/>
      <c r="N40" s="901"/>
      <c r="O40" s="206"/>
      <c r="P40" s="199"/>
      <c r="Q40" s="185">
        <v>1</v>
      </c>
      <c r="R40" s="184" t="s">
        <v>297</v>
      </c>
      <c r="S40" s="209">
        <v>0.2</v>
      </c>
      <c r="T40" s="205">
        <f>T38-T39</f>
        <v>19</v>
      </c>
      <c r="U40" s="185">
        <f>+S40*T40*Q40</f>
        <v>3.8000000000000003</v>
      </c>
      <c r="V40" s="185"/>
    </row>
    <row r="41" spans="1:22" ht="15" x14ac:dyDescent="0.2">
      <c r="A41" s="185"/>
      <c r="B41" s="185"/>
      <c r="C41" s="185"/>
      <c r="D41" s="934"/>
      <c r="E41" s="935"/>
      <c r="F41" s="935"/>
      <c r="G41" s="936"/>
      <c r="H41" s="218"/>
      <c r="I41" s="218"/>
      <c r="J41" s="928">
        <f>J28*K29</f>
        <v>0</v>
      </c>
      <c r="K41" s="928"/>
      <c r="L41" s="185"/>
      <c r="M41" s="901"/>
      <c r="N41" s="901"/>
      <c r="O41" s="206">
        <f>+S41</f>
        <v>0.30909090909090914</v>
      </c>
      <c r="P41" s="199">
        <f>+T38</f>
        <v>22</v>
      </c>
      <c r="Q41" s="184">
        <v>1</v>
      </c>
      <c r="R41" s="187" t="s">
        <v>295</v>
      </c>
      <c r="S41" s="202">
        <f>+U41/T41/Q41</f>
        <v>0.30909090909090914</v>
      </c>
      <c r="T41" s="205">
        <f>+T39+T40</f>
        <v>22</v>
      </c>
      <c r="U41" s="185">
        <f>SUM(U39:U40)</f>
        <v>6.8000000000000007</v>
      </c>
      <c r="V41" s="185"/>
    </row>
    <row r="42" spans="1:22" ht="15" x14ac:dyDescent="0.2">
      <c r="A42" s="185"/>
      <c r="B42" s="185"/>
      <c r="C42" s="185"/>
      <c r="D42" s="927" t="s">
        <v>208</v>
      </c>
      <c r="E42" s="927"/>
      <c r="F42" s="927"/>
      <c r="G42" s="927"/>
      <c r="H42" s="218"/>
      <c r="I42" s="218"/>
      <c r="J42" s="928">
        <f>L28*M29</f>
        <v>0</v>
      </c>
      <c r="K42" s="928"/>
      <c r="L42" s="185"/>
      <c r="M42" s="895" t="s">
        <v>305</v>
      </c>
      <c r="N42" s="896"/>
      <c r="O42" s="202">
        <v>1</v>
      </c>
      <c r="P42" s="199">
        <f>+T38</f>
        <v>22</v>
      </c>
      <c r="Q42" s="184"/>
      <c r="R42" s="185"/>
      <c r="S42" s="209"/>
      <c r="T42" s="205"/>
      <c r="U42" s="185"/>
      <c r="V42" s="185"/>
    </row>
    <row r="43" spans="1:22" ht="15" x14ac:dyDescent="0.2">
      <c r="A43" s="185"/>
      <c r="B43" s="185"/>
      <c r="C43" s="185"/>
      <c r="D43" s="927"/>
      <c r="E43" s="927"/>
      <c r="F43" s="927"/>
      <c r="G43" s="927"/>
      <c r="H43" s="218"/>
      <c r="I43" s="218"/>
      <c r="J43" s="928">
        <f>N28*O29</f>
        <v>0</v>
      </c>
      <c r="K43" s="928"/>
      <c r="L43" s="185"/>
      <c r="M43" s="900" t="s">
        <v>304</v>
      </c>
      <c r="N43" s="901"/>
      <c r="O43" s="210"/>
      <c r="P43" s="199"/>
      <c r="Q43" s="184">
        <v>4</v>
      </c>
      <c r="R43" s="184" t="s">
        <v>303</v>
      </c>
      <c r="S43" s="209">
        <v>1</v>
      </c>
      <c r="T43" s="205">
        <v>11.5</v>
      </c>
      <c r="U43" s="185">
        <f>+S43*T43*Q43</f>
        <v>46</v>
      </c>
      <c r="V43" s="185"/>
    </row>
    <row r="44" spans="1:22" ht="15" x14ac:dyDescent="0.2">
      <c r="A44" s="185"/>
      <c r="B44" s="185"/>
      <c r="C44" s="185"/>
      <c r="D44" s="927"/>
      <c r="E44" s="927"/>
      <c r="F44" s="927"/>
      <c r="G44" s="927"/>
      <c r="H44" s="218"/>
      <c r="I44" s="218"/>
      <c r="J44" s="928">
        <f>P28*Q29</f>
        <v>0</v>
      </c>
      <c r="K44" s="928"/>
      <c r="L44" s="185"/>
      <c r="M44" s="901"/>
      <c r="N44" s="901"/>
      <c r="O44" s="210"/>
      <c r="P44" s="199"/>
      <c r="Q44" s="184">
        <v>4</v>
      </c>
      <c r="R44" s="184" t="s">
        <v>297</v>
      </c>
      <c r="S44" s="209">
        <v>0</v>
      </c>
      <c r="T44" s="205">
        <f>+T38-T43</f>
        <v>10.5</v>
      </c>
      <c r="U44" s="185">
        <f>+S44*T44*Q44</f>
        <v>0</v>
      </c>
      <c r="V44" s="185"/>
    </row>
    <row r="45" spans="1:22" ht="15.75" thickBot="1" x14ac:dyDescent="0.25">
      <c r="A45" s="185"/>
      <c r="B45" s="185"/>
      <c r="C45" s="185"/>
      <c r="D45" s="929" t="s">
        <v>302</v>
      </c>
      <c r="E45" s="929"/>
      <c r="F45" s="929"/>
      <c r="G45" s="929"/>
      <c r="H45" s="216"/>
      <c r="I45" s="216"/>
      <c r="J45" s="930">
        <f>R28*S29</f>
        <v>0</v>
      </c>
      <c r="K45" s="930"/>
      <c r="L45" s="185"/>
      <c r="M45" s="901"/>
      <c r="N45" s="901"/>
      <c r="O45" s="206">
        <f>+S45</f>
        <v>0.52272727272727271</v>
      </c>
      <c r="P45" s="199"/>
      <c r="Q45" s="184">
        <v>4</v>
      </c>
      <c r="R45" s="187" t="s">
        <v>295</v>
      </c>
      <c r="S45" s="202">
        <f>+U45/T45/Q45</f>
        <v>0.52272727272727271</v>
      </c>
      <c r="T45" s="205">
        <f>+T43+T44</f>
        <v>22</v>
      </c>
      <c r="U45" s="185">
        <f>SUM(U43:U44)</f>
        <v>46</v>
      </c>
      <c r="V45" s="185"/>
    </row>
    <row r="46" spans="1:22" ht="15.75" thickBot="1" x14ac:dyDescent="0.25">
      <c r="A46" s="185"/>
      <c r="B46" s="185"/>
      <c r="C46" s="185"/>
      <c r="D46" s="898" t="s">
        <v>301</v>
      </c>
      <c r="E46" s="899"/>
      <c r="F46" s="899"/>
      <c r="G46" s="899"/>
      <c r="H46" s="214"/>
      <c r="I46" s="214"/>
      <c r="J46" s="873">
        <f>SUM(J39:J45)</f>
        <v>0</v>
      </c>
      <c r="K46" s="874"/>
      <c r="L46" s="185"/>
      <c r="M46" s="900" t="s">
        <v>300</v>
      </c>
      <c r="N46" s="901"/>
      <c r="O46" s="210"/>
      <c r="P46" s="199"/>
      <c r="Q46" s="185">
        <v>3</v>
      </c>
      <c r="R46" s="184" t="s">
        <v>299</v>
      </c>
      <c r="S46" s="209">
        <v>1</v>
      </c>
      <c r="T46" s="205">
        <v>19</v>
      </c>
      <c r="U46" s="185">
        <f>+S46*T46*Q46</f>
        <v>57</v>
      </c>
      <c r="V46" s="185"/>
    </row>
    <row r="47" spans="1:22" ht="15" customHeight="1" x14ac:dyDescent="0.2">
      <c r="A47" s="185"/>
      <c r="B47" s="185"/>
      <c r="C47" s="185"/>
      <c r="D47" s="902" t="s">
        <v>298</v>
      </c>
      <c r="E47" s="902"/>
      <c r="F47" s="902"/>
      <c r="G47" s="902"/>
      <c r="H47" s="212"/>
      <c r="I47" s="212"/>
      <c r="J47" s="903">
        <f>J46*40</f>
        <v>0</v>
      </c>
      <c r="K47" s="903"/>
      <c r="L47" s="185"/>
      <c r="M47" s="901"/>
      <c r="N47" s="901"/>
      <c r="O47" s="210"/>
      <c r="P47" s="199"/>
      <c r="Q47" s="185">
        <v>3</v>
      </c>
      <c r="R47" s="184" t="s">
        <v>297</v>
      </c>
      <c r="S47" s="209">
        <v>0</v>
      </c>
      <c r="T47" s="205">
        <f>+T38-T46</f>
        <v>3</v>
      </c>
      <c r="U47" s="185">
        <f>+S47*T47*Q47</f>
        <v>0</v>
      </c>
      <c r="V47" s="185"/>
    </row>
    <row r="48" spans="1:22" ht="15" customHeight="1" x14ac:dyDescent="0.2">
      <c r="A48" s="185"/>
      <c r="B48" s="185"/>
      <c r="C48" s="185"/>
      <c r="D48" s="925" t="s">
        <v>296</v>
      </c>
      <c r="E48" s="925"/>
      <c r="F48" s="925"/>
      <c r="G48" s="925"/>
      <c r="H48" s="208"/>
      <c r="I48" s="208"/>
      <c r="J48" s="926">
        <f>160*D37</f>
        <v>0</v>
      </c>
      <c r="K48" s="926"/>
      <c r="L48" s="185"/>
      <c r="M48" s="901"/>
      <c r="N48" s="901"/>
      <c r="O48" s="206">
        <f>+S48</f>
        <v>0.86363636363636365</v>
      </c>
      <c r="P48" s="199"/>
      <c r="Q48" s="187">
        <v>3</v>
      </c>
      <c r="R48" s="187" t="s">
        <v>295</v>
      </c>
      <c r="S48" s="202">
        <f>+U48/T48/Q48</f>
        <v>0.86363636363636365</v>
      </c>
      <c r="T48" s="205">
        <f>+T46+T47</f>
        <v>22</v>
      </c>
      <c r="U48" s="185">
        <f>+U46+U47</f>
        <v>57</v>
      </c>
      <c r="V48" s="185"/>
    </row>
    <row r="49" spans="1:22" ht="15" customHeight="1" x14ac:dyDescent="0.2">
      <c r="A49" s="185"/>
      <c r="B49" s="185"/>
      <c r="C49" s="185"/>
      <c r="D49" s="893" t="s">
        <v>294</v>
      </c>
      <c r="E49" s="893"/>
      <c r="F49" s="893"/>
      <c r="G49" s="893"/>
      <c r="H49" s="204"/>
      <c r="I49" s="204"/>
      <c r="J49" s="894">
        <f>80*D37</f>
        <v>0</v>
      </c>
      <c r="K49" s="894"/>
      <c r="L49" s="185"/>
      <c r="M49" s="895" t="s">
        <v>293</v>
      </c>
      <c r="N49" s="896"/>
      <c r="O49" s="202">
        <v>0.25</v>
      </c>
      <c r="P49" s="199">
        <f>+T38</f>
        <v>22</v>
      </c>
      <c r="Q49" s="184"/>
      <c r="R49" s="185"/>
      <c r="S49" s="185"/>
      <c r="T49" s="185"/>
      <c r="U49" s="185"/>
      <c r="V49" s="185"/>
    </row>
    <row r="50" spans="1:22" ht="15.75" thickBot="1" x14ac:dyDescent="0.25">
      <c r="A50" s="185"/>
      <c r="B50" s="185"/>
      <c r="C50" s="185"/>
      <c r="D50" s="897" t="s">
        <v>109</v>
      </c>
      <c r="E50" s="893"/>
      <c r="F50" s="893"/>
      <c r="G50" s="893"/>
      <c r="H50" s="203"/>
      <c r="I50" s="203"/>
      <c r="J50" s="894">
        <f>32*D37</f>
        <v>0</v>
      </c>
      <c r="K50" s="894"/>
      <c r="L50" s="185"/>
      <c r="M50" s="895" t="s">
        <v>109</v>
      </c>
      <c r="N50" s="896"/>
      <c r="O50" s="202">
        <v>0.05</v>
      </c>
      <c r="P50" s="199">
        <f>+T38</f>
        <v>22</v>
      </c>
      <c r="Q50" s="184"/>
      <c r="R50" s="185"/>
      <c r="S50" s="185"/>
      <c r="T50" s="185"/>
      <c r="U50" s="185"/>
      <c r="V50" s="185"/>
    </row>
    <row r="51" spans="1:22" ht="15.75" thickBot="1" x14ac:dyDescent="0.25">
      <c r="A51" s="185"/>
      <c r="B51" s="185"/>
      <c r="C51" s="185"/>
      <c r="D51" s="871" t="s">
        <v>292</v>
      </c>
      <c r="E51" s="872"/>
      <c r="F51" s="872"/>
      <c r="G51" s="872"/>
      <c r="H51" s="201"/>
      <c r="I51" s="201"/>
      <c r="J51" s="873">
        <f>SUM(J47:J50)</f>
        <v>0</v>
      </c>
      <c r="K51" s="874"/>
      <c r="L51" s="185"/>
      <c r="M51" s="875"/>
      <c r="N51" s="875"/>
      <c r="O51" s="875"/>
      <c r="P51" s="185"/>
      <c r="Q51" s="199"/>
      <c r="R51" s="185"/>
      <c r="S51" s="185"/>
      <c r="T51" s="185"/>
      <c r="U51" s="185"/>
      <c r="V51" s="185"/>
    </row>
    <row r="52" spans="1:22" ht="13.5" thickBot="1" x14ac:dyDescent="0.25">
      <c r="A52" s="185"/>
      <c r="B52" s="185"/>
      <c r="C52" s="185"/>
      <c r="D52" s="185"/>
      <c r="E52" s="185"/>
      <c r="F52" s="185"/>
      <c r="G52" s="185"/>
      <c r="H52" s="185"/>
      <c r="I52" s="185"/>
      <c r="J52" s="185"/>
      <c r="K52" s="185"/>
      <c r="L52" s="185"/>
      <c r="M52" s="185"/>
      <c r="N52" s="185"/>
      <c r="O52" s="185"/>
      <c r="P52" s="185"/>
      <c r="Q52" s="185"/>
      <c r="R52" s="185"/>
      <c r="S52" s="185"/>
      <c r="T52" s="185"/>
      <c r="U52" s="185"/>
      <c r="V52" s="185"/>
    </row>
    <row r="53" spans="1:22" ht="13.5" thickBot="1" x14ac:dyDescent="0.25">
      <c r="A53" s="185"/>
      <c r="B53" s="185"/>
      <c r="C53" s="185"/>
      <c r="D53" s="185"/>
      <c r="E53" s="185"/>
      <c r="F53" s="185"/>
      <c r="G53" s="185"/>
      <c r="H53" s="185"/>
      <c r="I53" s="185"/>
      <c r="J53" s="873" t="e">
        <f>+#REF!</f>
        <v>#REF!</v>
      </c>
      <c r="K53" s="874"/>
      <c r="L53" s="185"/>
      <c r="M53" s="185"/>
      <c r="N53" s="185"/>
      <c r="O53" s="185"/>
      <c r="P53" s="185"/>
      <c r="Q53" s="185"/>
      <c r="R53" s="185"/>
      <c r="S53" s="185"/>
      <c r="T53" s="185"/>
      <c r="U53" s="185"/>
      <c r="V53" s="185"/>
    </row>
    <row r="54" spans="1:22" x14ac:dyDescent="0.2">
      <c r="A54" s="130"/>
      <c r="B54" s="130"/>
      <c r="C54" s="1"/>
      <c r="D54" s="131"/>
      <c r="E54" s="131"/>
      <c r="F54" s="1"/>
      <c r="G54" s="1"/>
      <c r="H54" s="1"/>
    </row>
    <row r="55" spans="1:22" x14ac:dyDescent="0.2">
      <c r="A55" s="130"/>
      <c r="B55" s="130"/>
      <c r="C55" s="1"/>
      <c r="D55" s="131"/>
      <c r="E55" s="131"/>
      <c r="F55" s="1"/>
      <c r="G55" s="1"/>
      <c r="H55" s="1"/>
    </row>
    <row r="56" spans="1:22" x14ac:dyDescent="0.2">
      <c r="A56" s="130"/>
      <c r="B56" s="130"/>
      <c r="C56" s="1"/>
      <c r="D56" s="131"/>
      <c r="E56" s="131"/>
      <c r="F56" s="1"/>
      <c r="G56" s="1"/>
      <c r="H56" s="1"/>
    </row>
    <row r="57" spans="1:22" x14ac:dyDescent="0.2">
      <c r="A57" s="130"/>
      <c r="B57" s="130"/>
      <c r="C57" s="1"/>
      <c r="D57" s="131"/>
      <c r="E57" s="131"/>
      <c r="F57" s="1"/>
      <c r="G57" s="1"/>
      <c r="H57" s="1"/>
    </row>
    <row r="58" spans="1:22" x14ac:dyDescent="0.2">
      <c r="A58" s="130"/>
      <c r="B58" s="130"/>
      <c r="C58" s="1"/>
      <c r="D58" s="131"/>
      <c r="E58" s="131"/>
      <c r="F58" s="1"/>
      <c r="G58" s="1"/>
      <c r="H58" s="1"/>
    </row>
    <row r="59" spans="1:22" x14ac:dyDescent="0.2">
      <c r="A59" s="130"/>
      <c r="B59" s="1"/>
      <c r="C59" s="131"/>
      <c r="D59" s="131"/>
      <c r="E59" s="1"/>
      <c r="F59" s="1"/>
      <c r="G59" s="1"/>
    </row>
    <row r="60" spans="1:22" x14ac:dyDescent="0.2">
      <c r="A60" s="130"/>
      <c r="B60" s="1"/>
      <c r="C60" s="131"/>
      <c r="D60" s="131"/>
      <c r="E60" s="1"/>
      <c r="F60" s="1"/>
      <c r="G60" s="1"/>
    </row>
    <row r="61" spans="1:22" x14ac:dyDescent="0.2">
      <c r="A61" s="130"/>
      <c r="B61" s="130"/>
      <c r="C61" s="1"/>
      <c r="D61" s="131"/>
      <c r="E61" s="131"/>
      <c r="F61" s="1"/>
      <c r="G61" s="1"/>
      <c r="H61" s="1"/>
    </row>
    <row r="62" spans="1:22" x14ac:dyDescent="0.2">
      <c r="A62" s="130"/>
      <c r="B62" s="130"/>
      <c r="C62" s="1"/>
      <c r="D62" s="131"/>
      <c r="E62" s="131"/>
      <c r="F62" s="1"/>
      <c r="G62" s="1"/>
      <c r="H62" s="1"/>
    </row>
    <row r="63" spans="1:22" x14ac:dyDescent="0.2">
      <c r="A63" s="130"/>
      <c r="B63" s="130"/>
      <c r="C63" s="1"/>
      <c r="D63" s="131"/>
      <c r="E63" s="131"/>
      <c r="F63" s="1"/>
      <c r="G63" s="1"/>
      <c r="H63" s="1"/>
    </row>
    <row r="64" spans="1:22" x14ac:dyDescent="0.2">
      <c r="A64" s="130"/>
      <c r="B64" s="130"/>
      <c r="C64" s="1"/>
      <c r="D64" s="131"/>
      <c r="E64" s="131"/>
      <c r="F64" s="1"/>
      <c r="G64" s="1"/>
      <c r="H64" s="1"/>
    </row>
    <row r="65" spans="1:8" x14ac:dyDescent="0.2">
      <c r="A65" s="130"/>
      <c r="B65" s="130"/>
      <c r="C65" s="1"/>
      <c r="D65" s="131"/>
      <c r="E65" s="131"/>
      <c r="F65" s="1"/>
      <c r="G65" s="1"/>
      <c r="H65" s="1"/>
    </row>
    <row r="66" spans="1:8" x14ac:dyDescent="0.2">
      <c r="A66" s="130"/>
      <c r="B66" s="130"/>
      <c r="C66" s="1"/>
      <c r="D66" s="131"/>
      <c r="E66" s="131"/>
      <c r="F66" s="1"/>
      <c r="G66" s="1"/>
      <c r="H66" s="1"/>
    </row>
    <row r="67" spans="1:8" x14ac:dyDescent="0.2">
      <c r="A67" s="130"/>
      <c r="B67" s="130"/>
      <c r="C67" s="1"/>
      <c r="D67" s="131"/>
      <c r="E67" s="131"/>
      <c r="F67" s="1"/>
      <c r="G67" s="1"/>
      <c r="H67" s="1"/>
    </row>
    <row r="68" spans="1:8" x14ac:dyDescent="0.2">
      <c r="A68" s="130"/>
      <c r="B68" s="130"/>
      <c r="C68" s="1"/>
      <c r="D68" s="131"/>
      <c r="E68" s="131"/>
      <c r="F68" s="1"/>
      <c r="G68" s="1"/>
      <c r="H68" s="1"/>
    </row>
    <row r="69" spans="1:8" x14ac:dyDescent="0.2">
      <c r="A69" s="130"/>
      <c r="B69" s="130"/>
      <c r="C69" s="1"/>
      <c r="D69" s="131"/>
      <c r="E69" s="131"/>
      <c r="F69" s="1"/>
      <c r="G69" s="1"/>
      <c r="H69" s="1"/>
    </row>
    <row r="70" spans="1:8" x14ac:dyDescent="0.2">
      <c r="A70" s="130"/>
      <c r="B70" s="130"/>
      <c r="C70" s="132"/>
      <c r="D70" s="131"/>
      <c r="E70" s="131"/>
      <c r="F70" s="1"/>
      <c r="G70" s="1"/>
      <c r="H70" s="1"/>
    </row>
    <row r="71" spans="1:8" x14ac:dyDescent="0.2">
      <c r="A71" s="130"/>
      <c r="B71" s="130"/>
      <c r="C71" s="1"/>
      <c r="D71" s="131"/>
      <c r="E71" s="131"/>
      <c r="F71" s="1"/>
      <c r="G71" s="1"/>
      <c r="H71" s="1"/>
    </row>
    <row r="72" spans="1:8" x14ac:dyDescent="0.2">
      <c r="A72" s="130"/>
      <c r="B72" s="130"/>
      <c r="C72" s="1"/>
      <c r="D72" s="131"/>
      <c r="E72" s="131"/>
      <c r="F72" s="1"/>
      <c r="G72" s="1"/>
      <c r="H72" s="1"/>
    </row>
    <row r="73" spans="1:8" x14ac:dyDescent="0.2">
      <c r="A73" s="130"/>
      <c r="B73" s="130"/>
      <c r="C73" s="1"/>
      <c r="D73" s="131"/>
      <c r="E73" s="131"/>
      <c r="F73" s="1"/>
      <c r="G73" s="1"/>
      <c r="H73" s="1"/>
    </row>
    <row r="74" spans="1:8" x14ac:dyDescent="0.2">
      <c r="A74" s="130"/>
      <c r="B74" s="130"/>
      <c r="C74" s="130"/>
      <c r="D74" s="131"/>
      <c r="E74" s="131"/>
      <c r="F74" s="1"/>
      <c r="G74" s="1"/>
      <c r="H74" s="1"/>
    </row>
    <row r="75" spans="1:8" x14ac:dyDescent="0.2">
      <c r="A75" s="130"/>
      <c r="B75" s="130"/>
      <c r="C75" s="1"/>
      <c r="D75" s="131"/>
      <c r="E75" s="131"/>
      <c r="F75" s="1"/>
      <c r="G75" s="1"/>
      <c r="H75" s="1"/>
    </row>
    <row r="76" spans="1:8" x14ac:dyDescent="0.2">
      <c r="A76" s="130"/>
      <c r="B76" s="130"/>
      <c r="C76" s="1"/>
      <c r="D76" s="131"/>
      <c r="E76" s="131"/>
      <c r="F76" s="1"/>
      <c r="G76" s="1"/>
      <c r="H76" s="1"/>
    </row>
    <row r="77" spans="1:8" x14ac:dyDescent="0.2">
      <c r="A77" s="130"/>
      <c r="B77" s="130"/>
      <c r="C77" s="1"/>
      <c r="D77" s="131"/>
      <c r="E77" s="131"/>
      <c r="F77" s="1"/>
      <c r="G77" s="1"/>
      <c r="H77" s="1"/>
    </row>
    <row r="78" spans="1:8" x14ac:dyDescent="0.2">
      <c r="A78" s="130"/>
      <c r="B78" s="130"/>
      <c r="C78" s="1"/>
      <c r="D78" s="131"/>
      <c r="E78" s="131"/>
      <c r="F78" s="1"/>
      <c r="G78" s="1"/>
      <c r="H78" s="1"/>
    </row>
    <row r="79" spans="1:8" x14ac:dyDescent="0.2">
      <c r="A79" s="130"/>
      <c r="B79" s="130"/>
      <c r="C79" s="1"/>
      <c r="D79" s="131"/>
      <c r="E79" s="131"/>
      <c r="F79" s="1"/>
      <c r="G79" s="1"/>
      <c r="H79" s="1"/>
    </row>
    <row r="80" spans="1:8" x14ac:dyDescent="0.2">
      <c r="A80" s="130"/>
      <c r="B80" s="130"/>
      <c r="C80" s="1"/>
      <c r="D80" s="131"/>
      <c r="E80" s="131"/>
      <c r="F80" s="1"/>
      <c r="G80" s="1"/>
      <c r="H80" s="1"/>
    </row>
    <row r="81" spans="1:8" x14ac:dyDescent="0.2">
      <c r="A81" s="130"/>
      <c r="B81" s="130"/>
      <c r="C81" s="1"/>
      <c r="D81" s="131"/>
      <c r="E81" s="131"/>
      <c r="F81" s="1"/>
      <c r="G81" s="1"/>
      <c r="H81" s="1"/>
    </row>
    <row r="82" spans="1:8" x14ac:dyDescent="0.2">
      <c r="A82" s="130"/>
      <c r="B82" s="130"/>
      <c r="C82" s="1"/>
      <c r="D82" s="131"/>
      <c r="E82" s="131"/>
      <c r="F82" s="1"/>
      <c r="G82" s="1"/>
      <c r="H82" s="1"/>
    </row>
    <row r="83" spans="1:8" x14ac:dyDescent="0.2">
      <c r="A83" s="130"/>
      <c r="B83" s="130"/>
      <c r="C83" s="1"/>
      <c r="D83" s="131"/>
      <c r="E83" s="131"/>
      <c r="F83" s="1"/>
      <c r="G83" s="1"/>
      <c r="H83" s="1"/>
    </row>
    <row r="84" spans="1:8" x14ac:dyDescent="0.2">
      <c r="A84" s="130"/>
      <c r="B84" s="130"/>
      <c r="C84" s="1"/>
      <c r="D84" s="131"/>
      <c r="E84" s="131"/>
      <c r="F84" s="1"/>
      <c r="G84" s="1"/>
      <c r="H84" s="1"/>
    </row>
    <row r="85" spans="1:8" x14ac:dyDescent="0.2">
      <c r="A85" s="130"/>
      <c r="B85" s="130"/>
      <c r="C85" s="1"/>
      <c r="D85" s="131"/>
      <c r="E85" s="131"/>
      <c r="F85" s="1"/>
      <c r="G85" s="1"/>
      <c r="H85" s="1"/>
    </row>
    <row r="86" spans="1:8" x14ac:dyDescent="0.2">
      <c r="A86" s="130"/>
      <c r="B86" s="130"/>
      <c r="C86" s="1"/>
      <c r="D86" s="131"/>
      <c r="E86" s="131"/>
      <c r="F86" s="1"/>
      <c r="G86" s="1"/>
      <c r="H86" s="1"/>
    </row>
    <row r="87" spans="1:8" x14ac:dyDescent="0.2">
      <c r="A87" s="130"/>
      <c r="B87" s="130"/>
      <c r="C87" s="1"/>
      <c r="D87" s="131"/>
      <c r="E87" s="131"/>
      <c r="F87" s="1"/>
      <c r="G87" s="1"/>
      <c r="H87" s="1"/>
    </row>
    <row r="88" spans="1:8" x14ac:dyDescent="0.2">
      <c r="A88" s="130"/>
      <c r="B88" s="130"/>
      <c r="C88" s="1"/>
      <c r="D88" s="131"/>
      <c r="E88" s="131"/>
      <c r="F88" s="1"/>
      <c r="G88" s="1"/>
      <c r="H88" s="1"/>
    </row>
    <row r="89" spans="1:8" x14ac:dyDescent="0.2">
      <c r="A89" s="130"/>
      <c r="B89" s="130"/>
      <c r="C89" s="1"/>
      <c r="D89" s="131"/>
      <c r="E89" s="131"/>
      <c r="F89" s="1"/>
      <c r="G89" s="1"/>
      <c r="H89" s="1"/>
    </row>
    <row r="90" spans="1:8" x14ac:dyDescent="0.2">
      <c r="A90" s="130"/>
      <c r="B90" s="130"/>
      <c r="C90" s="1"/>
      <c r="D90" s="131"/>
      <c r="E90" s="131"/>
      <c r="F90" s="1"/>
      <c r="G90" s="1"/>
      <c r="H90" s="1"/>
    </row>
    <row r="91" spans="1:8" x14ac:dyDescent="0.2">
      <c r="A91" s="130"/>
      <c r="B91" s="130"/>
      <c r="C91" s="1"/>
      <c r="D91" s="131"/>
      <c r="E91" s="131"/>
      <c r="F91" s="1"/>
      <c r="G91" s="1"/>
      <c r="H91" s="1"/>
    </row>
    <row r="92" spans="1:8" x14ac:dyDescent="0.2">
      <c r="A92" s="130"/>
      <c r="B92" s="130"/>
      <c r="C92" s="1"/>
      <c r="D92" s="131"/>
      <c r="E92" s="131"/>
      <c r="F92" s="1"/>
      <c r="G92" s="1"/>
      <c r="H92" s="1"/>
    </row>
    <row r="93" spans="1:8" x14ac:dyDescent="0.2">
      <c r="A93" s="130"/>
      <c r="B93" s="130"/>
      <c r="C93" s="1"/>
      <c r="D93" s="131"/>
      <c r="E93" s="131"/>
      <c r="F93" s="1"/>
      <c r="G93" s="1"/>
      <c r="H93" s="1"/>
    </row>
    <row r="94" spans="1:8" x14ac:dyDescent="0.2">
      <c r="A94" s="130"/>
      <c r="B94" s="130"/>
      <c r="C94" s="1"/>
      <c r="D94" s="131"/>
      <c r="E94" s="131"/>
      <c r="F94" s="1"/>
      <c r="G94" s="1"/>
      <c r="H94" s="1"/>
    </row>
    <row r="95" spans="1:8" x14ac:dyDescent="0.2">
      <c r="A95" s="130"/>
      <c r="B95" s="130"/>
      <c r="C95" s="1"/>
      <c r="D95" s="131"/>
      <c r="E95" s="131"/>
      <c r="F95" s="1"/>
      <c r="G95" s="1"/>
      <c r="H95" s="1"/>
    </row>
    <row r="96" spans="1:8" x14ac:dyDescent="0.2">
      <c r="A96" s="130"/>
      <c r="B96" s="130"/>
      <c r="C96" s="1"/>
      <c r="D96" s="131"/>
      <c r="E96" s="131"/>
      <c r="F96" s="1"/>
      <c r="G96" s="1"/>
      <c r="H96" s="1"/>
    </row>
    <row r="97" spans="1:9" x14ac:dyDescent="0.2">
      <c r="A97" s="130"/>
      <c r="B97" s="130"/>
      <c r="C97" s="1"/>
      <c r="D97" s="131"/>
      <c r="E97" s="131"/>
      <c r="F97" s="1"/>
      <c r="G97" s="1"/>
      <c r="H97" s="1"/>
    </row>
    <row r="98" spans="1:9" x14ac:dyDescent="0.2">
      <c r="A98" s="130"/>
      <c r="B98" s="130"/>
      <c r="C98" s="130"/>
      <c r="D98" s="131"/>
      <c r="E98" s="131"/>
      <c r="F98" s="1"/>
      <c r="G98" s="1"/>
      <c r="H98" s="1"/>
    </row>
    <row r="99" spans="1:9" x14ac:dyDescent="0.2">
      <c r="A99" s="130"/>
      <c r="B99" s="130"/>
      <c r="C99" s="1"/>
      <c r="D99" s="131"/>
      <c r="E99" s="131"/>
      <c r="F99" s="1"/>
      <c r="G99" s="1"/>
      <c r="H99" s="1"/>
    </row>
    <row r="100" spans="1:9" x14ac:dyDescent="0.2">
      <c r="A100" s="1"/>
      <c r="B100" s="130"/>
      <c r="C100" s="130"/>
      <c r="D100" s="1"/>
      <c r="E100" s="131"/>
      <c r="F100" s="131"/>
      <c r="G100" s="1"/>
      <c r="H100" s="1"/>
      <c r="I100" s="1"/>
    </row>
    <row r="101" spans="1:9" x14ac:dyDescent="0.2">
      <c r="A101" s="1"/>
      <c r="B101" s="130"/>
      <c r="C101" s="130"/>
      <c r="D101" s="1"/>
      <c r="E101" s="131"/>
      <c r="F101" s="131"/>
      <c r="G101" s="1"/>
      <c r="H101" s="1"/>
      <c r="I101" s="1"/>
    </row>
    <row r="102" spans="1:9" x14ac:dyDescent="0.2">
      <c r="A102" s="1"/>
      <c r="B102" s="130"/>
      <c r="C102" s="130"/>
      <c r="D102" s="1"/>
      <c r="E102" s="1"/>
      <c r="F102" s="1"/>
      <c r="G102" s="1"/>
      <c r="H102" s="1"/>
      <c r="I102" s="1"/>
    </row>
    <row r="103" spans="1:9" x14ac:dyDescent="0.2">
      <c r="A103" s="1"/>
      <c r="B103" s="1"/>
      <c r="C103" s="1"/>
      <c r="D103" s="1"/>
      <c r="E103" s="1"/>
      <c r="F103" s="1"/>
      <c r="G103" s="1"/>
      <c r="H103" s="1"/>
      <c r="I103" s="1"/>
    </row>
    <row r="104" spans="1:9" x14ac:dyDescent="0.2">
      <c r="A104" s="1"/>
      <c r="B104" s="1"/>
      <c r="C104" s="1"/>
      <c r="D104" s="1"/>
      <c r="E104" s="1"/>
      <c r="F104" s="1"/>
      <c r="G104" s="1"/>
      <c r="H104" s="1"/>
      <c r="I104" s="1"/>
    </row>
    <row r="105" spans="1:9" x14ac:dyDescent="0.2">
      <c r="A105" s="1"/>
      <c r="B105" s="1"/>
      <c r="C105" s="1"/>
      <c r="D105" s="1"/>
      <c r="E105" s="1"/>
      <c r="F105" s="1"/>
      <c r="G105" s="1"/>
      <c r="H105" s="1"/>
      <c r="I105" s="1"/>
    </row>
  </sheetData>
  <mergeCells count="126">
    <mergeCell ref="R8:S8"/>
    <mergeCell ref="R9:S9"/>
    <mergeCell ref="A3:I3"/>
    <mergeCell ref="A5:I5"/>
    <mergeCell ref="H11:H12"/>
    <mergeCell ref="I11:I12"/>
    <mergeCell ref="J11:J12"/>
    <mergeCell ref="K11:K12"/>
    <mergeCell ref="L11:L12"/>
    <mergeCell ref="E11:E12"/>
    <mergeCell ref="F11:F12"/>
    <mergeCell ref="G11:G12"/>
    <mergeCell ref="A11:A12"/>
    <mergeCell ref="S11:S12"/>
    <mergeCell ref="N13:N17"/>
    <mergeCell ref="O13:O17"/>
    <mergeCell ref="P13:P17"/>
    <mergeCell ref="Q13:Q17"/>
    <mergeCell ref="M11:M12"/>
    <mergeCell ref="N11:N12"/>
    <mergeCell ref="O11:O12"/>
    <mergeCell ref="P11:P12"/>
    <mergeCell ref="Q11:Q12"/>
    <mergeCell ref="D23:E23"/>
    <mergeCell ref="F23:G23"/>
    <mergeCell ref="H23:I23"/>
    <mergeCell ref="J23:K23"/>
    <mergeCell ref="L23:M23"/>
    <mergeCell ref="N23:O23"/>
    <mergeCell ref="P23:Q23"/>
    <mergeCell ref="R23:S23"/>
    <mergeCell ref="R18:R20"/>
    <mergeCell ref="L22:Q22"/>
    <mergeCell ref="R22:S22"/>
    <mergeCell ref="E18:E20"/>
    <mergeCell ref="F18:F20"/>
    <mergeCell ref="G18:G20"/>
    <mergeCell ref="H18:H20"/>
    <mergeCell ref="I18:I20"/>
    <mergeCell ref="J18:J20"/>
    <mergeCell ref="K18:K20"/>
    <mergeCell ref="L18:L20"/>
    <mergeCell ref="M18:M20"/>
    <mergeCell ref="N18:N20"/>
    <mergeCell ref="O18:O20"/>
    <mergeCell ref="P18:P20"/>
    <mergeCell ref="Q18:Q20"/>
    <mergeCell ref="F31:G31"/>
    <mergeCell ref="H31:K31"/>
    <mergeCell ref="L31:Q31"/>
    <mergeCell ref="R31:S31"/>
    <mergeCell ref="F32:G32"/>
    <mergeCell ref="H32:K32"/>
    <mergeCell ref="L32:Q32"/>
    <mergeCell ref="R32:S32"/>
    <mergeCell ref="D28:E28"/>
    <mergeCell ref="D30:E30"/>
    <mergeCell ref="D39:G39"/>
    <mergeCell ref="J39:K39"/>
    <mergeCell ref="M39:N41"/>
    <mergeCell ref="D40:G41"/>
    <mergeCell ref="J40:K40"/>
    <mergeCell ref="J41:K41"/>
    <mergeCell ref="B35:C35"/>
    <mergeCell ref="B36:C36"/>
    <mergeCell ref="B37:C37"/>
    <mergeCell ref="J38:K38"/>
    <mergeCell ref="M38:N38"/>
    <mergeCell ref="D48:G48"/>
    <mergeCell ref="J48:K48"/>
    <mergeCell ref="D42:G44"/>
    <mergeCell ref="J42:K42"/>
    <mergeCell ref="M42:N42"/>
    <mergeCell ref="J43:K43"/>
    <mergeCell ref="M43:N45"/>
    <mergeCell ref="J44:K44"/>
    <mergeCell ref="D45:G45"/>
    <mergeCell ref="J45:K45"/>
    <mergeCell ref="A13:A17"/>
    <mergeCell ref="S13:S17"/>
    <mergeCell ref="A18:A20"/>
    <mergeCell ref="S18:S20"/>
    <mergeCell ref="F8:G8"/>
    <mergeCell ref="H8:K8"/>
    <mergeCell ref="L8:Q8"/>
    <mergeCell ref="F9:G9"/>
    <mergeCell ref="H9:I9"/>
    <mergeCell ref="J9:K9"/>
    <mergeCell ref="L9:M9"/>
    <mergeCell ref="N9:O9"/>
    <mergeCell ref="P9:Q9"/>
    <mergeCell ref="R13:R17"/>
    <mergeCell ref="R11:R12"/>
    <mergeCell ref="E13:E17"/>
    <mergeCell ref="F13:F17"/>
    <mergeCell ref="G13:G17"/>
    <mergeCell ref="H13:H17"/>
    <mergeCell ref="I13:I17"/>
    <mergeCell ref="J13:J17"/>
    <mergeCell ref="K13:K17"/>
    <mergeCell ref="L13:L17"/>
    <mergeCell ref="M13:M17"/>
    <mergeCell ref="D51:G51"/>
    <mergeCell ref="J51:K51"/>
    <mergeCell ref="M51:O51"/>
    <mergeCell ref="J53:K53"/>
    <mergeCell ref="A6:H6"/>
    <mergeCell ref="C24:C27"/>
    <mergeCell ref="D24:E24"/>
    <mergeCell ref="D25:E25"/>
    <mergeCell ref="D26:E26"/>
    <mergeCell ref="D27:E27"/>
    <mergeCell ref="D22:E22"/>
    <mergeCell ref="F22:G22"/>
    <mergeCell ref="H22:K22"/>
    <mergeCell ref="D49:G49"/>
    <mergeCell ref="J49:K49"/>
    <mergeCell ref="M49:N49"/>
    <mergeCell ref="D50:G50"/>
    <mergeCell ref="J50:K50"/>
    <mergeCell ref="M50:N50"/>
    <mergeCell ref="D46:G46"/>
    <mergeCell ref="J46:K46"/>
    <mergeCell ref="M46:N48"/>
    <mergeCell ref="D47:G47"/>
    <mergeCell ref="J47:K47"/>
  </mergeCells>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6"/>
  <sheetViews>
    <sheetView workbookViewId="0">
      <selection activeCell="F4" sqref="F4"/>
    </sheetView>
  </sheetViews>
  <sheetFormatPr baseColWidth="10" defaultRowHeight="12.75" x14ac:dyDescent="0.2"/>
  <cols>
    <col min="2" max="2" width="33.42578125" customWidth="1"/>
    <col min="3" max="3" width="8" customWidth="1"/>
    <col min="5" max="5" width="14.85546875" customWidth="1"/>
    <col min="6" max="6" width="38.28515625" bestFit="1" customWidth="1"/>
  </cols>
  <sheetData>
    <row r="1" spans="1:6" s="1" customFormat="1" x14ac:dyDescent="0.2"/>
    <row r="2" spans="1:6" s="1" customFormat="1" x14ac:dyDescent="0.2"/>
    <row r="3" spans="1:6" s="1" customFormat="1" x14ac:dyDescent="0.2">
      <c r="A3" s="970" t="s">
        <v>209</v>
      </c>
      <c r="B3" s="970"/>
      <c r="C3" s="970"/>
      <c r="D3" s="970"/>
      <c r="E3" s="970"/>
      <c r="F3" s="970"/>
    </row>
    <row r="4" spans="1:6" s="1" customFormat="1" ht="15.75" x14ac:dyDescent="0.25">
      <c r="A4" s="972" t="s">
        <v>558</v>
      </c>
      <c r="B4" s="972"/>
      <c r="C4" s="972"/>
      <c r="D4" s="972"/>
      <c r="E4" s="972"/>
      <c r="F4" s="411">
        <f ca="1">+Resumen!D39</f>
        <v>444872830.60889506</v>
      </c>
    </row>
    <row r="5" spans="1:6" s="1" customFormat="1" ht="13.5" thickBot="1" x14ac:dyDescent="0.25">
      <c r="B5" s="133"/>
      <c r="C5" s="133"/>
      <c r="D5" s="133"/>
      <c r="E5" s="133"/>
      <c r="F5" s="133"/>
    </row>
    <row r="6" spans="1:6" s="1" customFormat="1" x14ac:dyDescent="0.2">
      <c r="A6" s="439"/>
      <c r="B6" s="440" t="s">
        <v>210</v>
      </c>
      <c r="C6" s="440" t="s">
        <v>385</v>
      </c>
      <c r="D6" s="440" t="s">
        <v>286</v>
      </c>
      <c r="E6" s="440" t="s">
        <v>211</v>
      </c>
      <c r="F6" s="441" t="s">
        <v>32</v>
      </c>
    </row>
    <row r="7" spans="1:6" s="1" customFormat="1" x14ac:dyDescent="0.2">
      <c r="A7" s="967" t="s">
        <v>212</v>
      </c>
      <c r="B7" s="968"/>
      <c r="C7" s="971"/>
      <c r="D7" s="971"/>
      <c r="E7" s="971"/>
      <c r="F7" s="969"/>
    </row>
    <row r="8" spans="1:6" s="1" customFormat="1" x14ac:dyDescent="0.2">
      <c r="A8" s="442"/>
      <c r="B8" s="709" t="s">
        <v>285</v>
      </c>
      <c r="C8" s="707"/>
      <c r="D8" s="710">
        <v>0</v>
      </c>
      <c r="E8" s="706">
        <f t="shared" ref="E8:E15" ca="1" si="0">+$F$4*C8</f>
        <v>0</v>
      </c>
      <c r="F8" s="443"/>
    </row>
    <row r="9" spans="1:6" s="1" customFormat="1" x14ac:dyDescent="0.2">
      <c r="A9" s="442"/>
      <c r="B9" s="709" t="s">
        <v>284</v>
      </c>
      <c r="C9" s="707"/>
      <c r="D9" s="710">
        <v>2.75</v>
      </c>
      <c r="E9" s="706">
        <f t="shared" ca="1" si="0"/>
        <v>0</v>
      </c>
      <c r="F9" s="443"/>
    </row>
    <row r="10" spans="1:6" s="1" customFormat="1" x14ac:dyDescent="0.2">
      <c r="A10" s="442"/>
      <c r="B10" s="709" t="s">
        <v>283</v>
      </c>
      <c r="C10" s="707"/>
      <c r="D10" s="710">
        <v>7.8</v>
      </c>
      <c r="E10" s="706">
        <f t="shared" ca="1" si="0"/>
        <v>0</v>
      </c>
      <c r="F10" s="443"/>
    </row>
    <row r="11" spans="1:6" s="1" customFormat="1" x14ac:dyDescent="0.2">
      <c r="A11" s="442"/>
      <c r="B11" s="709" t="s">
        <v>282</v>
      </c>
      <c r="C11" s="707"/>
      <c r="D11" s="710">
        <v>14</v>
      </c>
      <c r="E11" s="706">
        <f t="shared" ca="1" si="0"/>
        <v>0</v>
      </c>
      <c r="F11" s="443"/>
    </row>
    <row r="12" spans="1:6" s="1" customFormat="1" x14ac:dyDescent="0.2">
      <c r="A12" s="442"/>
      <c r="B12" s="709" t="s">
        <v>281</v>
      </c>
      <c r="C12" s="707"/>
      <c r="D12" s="710">
        <v>19</v>
      </c>
      <c r="E12" s="706">
        <f t="shared" ca="1" si="0"/>
        <v>0</v>
      </c>
      <c r="F12" s="443"/>
    </row>
    <row r="13" spans="1:6" s="1" customFormat="1" x14ac:dyDescent="0.2">
      <c r="A13" s="442"/>
      <c r="B13" s="709" t="s">
        <v>280</v>
      </c>
      <c r="C13" s="707"/>
      <c r="D13" s="710">
        <v>21</v>
      </c>
      <c r="E13" s="706">
        <f t="shared" ca="1" si="0"/>
        <v>0</v>
      </c>
      <c r="F13" s="443"/>
    </row>
    <row r="14" spans="1:6" s="1" customFormat="1" x14ac:dyDescent="0.2">
      <c r="A14" s="442"/>
      <c r="B14" s="709" t="s">
        <v>279</v>
      </c>
      <c r="C14" s="707"/>
      <c r="D14" s="710">
        <v>21</v>
      </c>
      <c r="E14" s="706">
        <f t="shared" ca="1" si="0"/>
        <v>0</v>
      </c>
      <c r="F14" s="443"/>
    </row>
    <row r="15" spans="1:6" s="1" customFormat="1" x14ac:dyDescent="0.2">
      <c r="A15" s="442"/>
      <c r="B15" s="709" t="s">
        <v>278</v>
      </c>
      <c r="C15" s="707"/>
      <c r="D15" s="710">
        <v>22</v>
      </c>
      <c r="E15" s="706">
        <f t="shared" ca="1" si="0"/>
        <v>0</v>
      </c>
      <c r="F15" s="443"/>
    </row>
    <row r="16" spans="1:6" s="1" customFormat="1" x14ac:dyDescent="0.2">
      <c r="A16" s="442"/>
      <c r="B16" s="705" t="s">
        <v>559</v>
      </c>
      <c r="C16" s="712">
        <f>SUM(C8:C15)</f>
        <v>0</v>
      </c>
      <c r="D16" s="711"/>
      <c r="E16" s="708">
        <f ca="1">SUM(E8:E15)</f>
        <v>0</v>
      </c>
      <c r="F16" s="443"/>
    </row>
    <row r="17" spans="1:6" s="1" customFormat="1" x14ac:dyDescent="0.2">
      <c r="A17" s="967" t="s">
        <v>213</v>
      </c>
      <c r="B17" s="968"/>
      <c r="C17" s="968"/>
      <c r="D17" s="968"/>
      <c r="E17" s="968"/>
      <c r="F17" s="969"/>
    </row>
    <row r="18" spans="1:6" s="1" customFormat="1" x14ac:dyDescent="0.2">
      <c r="A18" s="442"/>
      <c r="B18" s="134"/>
      <c r="C18" s="134"/>
      <c r="D18" s="134"/>
      <c r="E18" s="134"/>
      <c r="F18" s="443"/>
    </row>
    <row r="19" spans="1:6" s="1" customFormat="1" x14ac:dyDescent="0.2">
      <c r="A19" s="442"/>
      <c r="B19" s="134"/>
      <c r="C19" s="134"/>
      <c r="D19" s="134"/>
      <c r="E19" s="134"/>
      <c r="F19" s="443"/>
    </row>
    <row r="20" spans="1:6" s="1" customFormat="1" x14ac:dyDescent="0.2">
      <c r="A20" s="442"/>
      <c r="B20" s="134"/>
      <c r="C20" s="134"/>
      <c r="D20" s="134"/>
      <c r="E20" s="134"/>
      <c r="F20" s="443"/>
    </row>
    <row r="21" spans="1:6" s="1" customFormat="1" x14ac:dyDescent="0.2">
      <c r="A21" s="442"/>
      <c r="B21" s="134"/>
      <c r="C21" s="134"/>
      <c r="D21" s="134"/>
      <c r="E21" s="134"/>
      <c r="F21" s="443"/>
    </row>
    <row r="22" spans="1:6" s="1" customFormat="1" x14ac:dyDescent="0.2">
      <c r="A22" s="442"/>
      <c r="B22" s="134"/>
      <c r="C22" s="134"/>
      <c r="D22" s="134"/>
      <c r="E22" s="134"/>
      <c r="F22" s="443"/>
    </row>
    <row r="23" spans="1:6" s="1" customFormat="1" x14ac:dyDescent="0.2">
      <c r="A23" s="442"/>
      <c r="B23" s="134"/>
      <c r="C23" s="134"/>
      <c r="D23" s="134"/>
      <c r="E23" s="134"/>
      <c r="F23" s="443"/>
    </row>
    <row r="24" spans="1:6" s="1" customFormat="1" x14ac:dyDescent="0.2">
      <c r="A24" s="442"/>
      <c r="B24" s="134"/>
      <c r="C24" s="134"/>
      <c r="D24" s="134"/>
      <c r="E24" s="134"/>
      <c r="F24" s="443"/>
    </row>
    <row r="25" spans="1:6" s="1" customFormat="1" x14ac:dyDescent="0.2">
      <c r="A25" s="442"/>
      <c r="B25" s="134"/>
      <c r="C25" s="134"/>
      <c r="D25" s="134"/>
      <c r="E25" s="134"/>
      <c r="F25" s="443"/>
    </row>
    <row r="26" spans="1:6" s="1" customFormat="1" x14ac:dyDescent="0.2">
      <c r="A26" s="442"/>
      <c r="B26" s="134"/>
      <c r="C26" s="134"/>
      <c r="D26" s="134"/>
      <c r="E26" s="134"/>
      <c r="F26" s="443"/>
    </row>
    <row r="27" spans="1:6" s="1" customFormat="1" x14ac:dyDescent="0.2">
      <c r="A27" s="442"/>
      <c r="B27" s="134"/>
      <c r="C27" s="134"/>
      <c r="D27" s="134"/>
      <c r="E27" s="134"/>
      <c r="F27" s="443"/>
    </row>
    <row r="28" spans="1:6" s="1" customFormat="1" x14ac:dyDescent="0.2">
      <c r="A28" s="442"/>
      <c r="B28" s="134"/>
      <c r="C28" s="134"/>
      <c r="D28" s="134"/>
      <c r="E28" s="134"/>
      <c r="F28" s="443"/>
    </row>
    <row r="29" spans="1:6" s="1" customFormat="1" x14ac:dyDescent="0.2">
      <c r="A29" s="442"/>
      <c r="B29" s="134"/>
      <c r="C29" s="134"/>
      <c r="D29" s="134"/>
      <c r="E29" s="134"/>
      <c r="F29" s="443"/>
    </row>
    <row r="30" spans="1:6" s="1" customFormat="1" ht="13.5" thickBot="1" x14ac:dyDescent="0.25">
      <c r="A30" s="444"/>
      <c r="B30" s="445"/>
      <c r="C30" s="445"/>
      <c r="D30" s="445"/>
      <c r="E30" s="445"/>
      <c r="F30" s="446"/>
    </row>
    <row r="31" spans="1:6" s="1" customFormat="1" x14ac:dyDescent="0.2">
      <c r="A31" s="185"/>
      <c r="C31" s="193"/>
      <c r="E31" s="191"/>
      <c r="F31" s="185"/>
    </row>
    <row r="32" spans="1:6" s="1" customFormat="1" x14ac:dyDescent="0.2"/>
    <row r="33" s="1" customFormat="1" x14ac:dyDescent="0.2"/>
    <row r="34" s="1" customFormat="1" x14ac:dyDescent="0.2"/>
    <row r="35" s="1" customFormat="1" x14ac:dyDescent="0.2"/>
    <row r="36" s="1" customFormat="1" x14ac:dyDescent="0.2"/>
    <row r="37" s="1" customFormat="1" x14ac:dyDescent="0.2"/>
    <row r="38" s="1" customFormat="1" x14ac:dyDescent="0.2"/>
    <row r="39" s="1" customFormat="1" x14ac:dyDescent="0.2"/>
    <row r="40" s="1" customFormat="1" x14ac:dyDescent="0.2"/>
    <row r="41" s="1" customFormat="1" x14ac:dyDescent="0.2"/>
    <row r="42" s="1" customFormat="1" x14ac:dyDescent="0.2"/>
    <row r="43" s="1" customFormat="1" x14ac:dyDescent="0.2"/>
    <row r="44" s="1" customFormat="1" x14ac:dyDescent="0.2"/>
    <row r="45" s="1" customFormat="1" x14ac:dyDescent="0.2"/>
    <row r="46" s="1" customFormat="1" x14ac:dyDescent="0.2"/>
    <row r="47" s="1" customFormat="1" x14ac:dyDescent="0.2"/>
    <row r="48" s="1" customFormat="1" x14ac:dyDescent="0.2"/>
    <row r="49" s="1" customFormat="1" x14ac:dyDescent="0.2"/>
    <row r="50" s="1" customFormat="1" x14ac:dyDescent="0.2"/>
    <row r="51" s="1" customFormat="1" x14ac:dyDescent="0.2"/>
    <row r="52" s="1" customFormat="1" x14ac:dyDescent="0.2"/>
    <row r="53" s="1" customFormat="1" x14ac:dyDescent="0.2"/>
    <row r="54" s="1" customFormat="1" x14ac:dyDescent="0.2"/>
    <row r="55" s="1" customFormat="1" x14ac:dyDescent="0.2"/>
    <row r="56" s="1" customFormat="1" x14ac:dyDescent="0.2"/>
    <row r="57" s="1" customFormat="1" x14ac:dyDescent="0.2"/>
    <row r="58" s="1" customFormat="1" x14ac:dyDescent="0.2"/>
    <row r="59" s="1" customFormat="1" x14ac:dyDescent="0.2"/>
    <row r="60" s="1" customFormat="1" x14ac:dyDescent="0.2"/>
    <row r="61" s="1" customFormat="1" x14ac:dyDescent="0.2"/>
    <row r="62" s="1" customFormat="1" x14ac:dyDescent="0.2"/>
    <row r="63" s="1" customFormat="1" x14ac:dyDescent="0.2"/>
    <row r="64" s="1" customFormat="1" x14ac:dyDescent="0.2"/>
    <row r="65" s="1" customFormat="1" x14ac:dyDescent="0.2"/>
    <row r="66" s="1" customFormat="1" x14ac:dyDescent="0.2"/>
    <row r="67" s="1" customFormat="1" x14ac:dyDescent="0.2"/>
    <row r="68" s="1" customFormat="1" x14ac:dyDescent="0.2"/>
    <row r="69" s="1" customFormat="1" x14ac:dyDescent="0.2"/>
    <row r="70" s="1" customFormat="1" x14ac:dyDescent="0.2"/>
    <row r="71" s="1" customFormat="1" x14ac:dyDescent="0.2"/>
    <row r="72" s="1" customFormat="1" x14ac:dyDescent="0.2"/>
    <row r="73" s="1" customFormat="1" x14ac:dyDescent="0.2"/>
    <row r="74" s="1" customFormat="1" x14ac:dyDescent="0.2"/>
    <row r="75" s="1" customFormat="1" x14ac:dyDescent="0.2"/>
    <row r="76" s="1" customFormat="1" x14ac:dyDescent="0.2"/>
    <row r="77" s="1" customFormat="1" x14ac:dyDescent="0.2"/>
    <row r="78" s="1" customFormat="1" x14ac:dyDescent="0.2"/>
    <row r="79" s="1" customFormat="1" x14ac:dyDescent="0.2"/>
    <row r="80" s="1" customFormat="1" x14ac:dyDescent="0.2"/>
    <row r="81" s="1" customFormat="1" x14ac:dyDescent="0.2"/>
    <row r="82" s="1" customFormat="1" x14ac:dyDescent="0.2"/>
    <row r="83" s="1" customFormat="1" x14ac:dyDescent="0.2"/>
    <row r="84" s="1" customFormat="1" x14ac:dyDescent="0.2"/>
    <row r="85" s="1" customFormat="1" x14ac:dyDescent="0.2"/>
    <row r="86" s="1" customFormat="1" x14ac:dyDescent="0.2"/>
    <row r="87" s="1" customFormat="1" x14ac:dyDescent="0.2"/>
    <row r="88" s="1" customFormat="1" x14ac:dyDescent="0.2"/>
    <row r="89" s="1" customFormat="1" x14ac:dyDescent="0.2"/>
    <row r="90" s="1" customFormat="1" x14ac:dyDescent="0.2"/>
    <row r="91" s="1" customFormat="1" x14ac:dyDescent="0.2"/>
    <row r="92" s="1" customFormat="1" x14ac:dyDescent="0.2"/>
    <row r="93" s="1" customFormat="1" x14ac:dyDescent="0.2"/>
    <row r="94" s="1" customFormat="1" x14ac:dyDescent="0.2"/>
    <row r="95" s="1" customFormat="1" x14ac:dyDescent="0.2"/>
    <row r="96" s="1" customFormat="1" x14ac:dyDescent="0.2"/>
    <row r="97" s="1" customFormat="1" x14ac:dyDescent="0.2"/>
    <row r="98" s="1" customFormat="1" x14ac:dyDescent="0.2"/>
    <row r="99" s="1" customFormat="1" x14ac:dyDescent="0.2"/>
    <row r="100" s="1" customFormat="1" x14ac:dyDescent="0.2"/>
    <row r="101" s="1" customFormat="1" x14ac:dyDescent="0.2"/>
    <row r="102" s="1" customFormat="1" x14ac:dyDescent="0.2"/>
    <row r="103" s="1" customFormat="1" x14ac:dyDescent="0.2"/>
    <row r="104" s="1" customFormat="1" x14ac:dyDescent="0.2"/>
    <row r="105" s="1" customFormat="1" x14ac:dyDescent="0.2"/>
    <row r="106" s="1" customFormat="1" x14ac:dyDescent="0.2"/>
    <row r="107" s="1" customFormat="1" x14ac:dyDescent="0.2"/>
    <row r="108" s="1" customFormat="1" x14ac:dyDescent="0.2"/>
    <row r="109" s="1" customFormat="1" x14ac:dyDescent="0.2"/>
    <row r="110" s="1" customFormat="1" x14ac:dyDescent="0.2"/>
    <row r="111" s="1" customFormat="1" x14ac:dyDescent="0.2"/>
    <row r="112" s="1" customFormat="1" x14ac:dyDescent="0.2"/>
    <row r="113" s="1" customFormat="1" x14ac:dyDescent="0.2"/>
    <row r="114" s="1" customFormat="1" x14ac:dyDescent="0.2"/>
    <row r="115" s="1" customFormat="1" x14ac:dyDescent="0.2"/>
    <row r="116" s="1" customFormat="1" x14ac:dyDescent="0.2"/>
    <row r="117" s="1" customFormat="1" x14ac:dyDescent="0.2"/>
    <row r="118" s="1" customFormat="1" x14ac:dyDescent="0.2"/>
    <row r="119" s="1" customFormat="1" x14ac:dyDescent="0.2"/>
    <row r="120" s="1" customFormat="1" x14ac:dyDescent="0.2"/>
    <row r="121" s="1" customFormat="1" x14ac:dyDescent="0.2"/>
    <row r="122" s="1" customFormat="1" x14ac:dyDescent="0.2"/>
    <row r="123" s="1" customFormat="1" x14ac:dyDescent="0.2"/>
    <row r="124" s="1" customFormat="1" x14ac:dyDescent="0.2"/>
    <row r="125" s="1" customFormat="1" x14ac:dyDescent="0.2"/>
    <row r="126" s="1" customFormat="1" x14ac:dyDescent="0.2"/>
    <row r="127" s="1" customFormat="1" x14ac:dyDescent="0.2"/>
    <row r="128" s="1" customFormat="1" x14ac:dyDescent="0.2"/>
    <row r="129" s="1" customFormat="1" x14ac:dyDescent="0.2"/>
    <row r="130" s="1" customFormat="1" x14ac:dyDescent="0.2"/>
    <row r="131" s="1" customFormat="1" x14ac:dyDescent="0.2"/>
    <row r="132" s="1" customFormat="1" x14ac:dyDescent="0.2"/>
    <row r="133" s="1" customFormat="1" x14ac:dyDescent="0.2"/>
    <row r="134" s="1" customFormat="1" x14ac:dyDescent="0.2"/>
    <row r="135" s="1" customFormat="1" x14ac:dyDescent="0.2"/>
    <row r="136" s="1" customFormat="1" x14ac:dyDescent="0.2"/>
    <row r="137" s="1" customFormat="1" x14ac:dyDescent="0.2"/>
    <row r="138" s="1" customFormat="1" x14ac:dyDescent="0.2"/>
    <row r="139" s="1" customFormat="1" x14ac:dyDescent="0.2"/>
    <row r="140" s="1" customFormat="1" x14ac:dyDescent="0.2"/>
    <row r="141" s="1" customFormat="1" x14ac:dyDescent="0.2"/>
    <row r="142" s="1" customFormat="1" x14ac:dyDescent="0.2"/>
    <row r="143" s="1" customFormat="1" x14ac:dyDescent="0.2"/>
    <row r="144" s="1" customFormat="1" x14ac:dyDescent="0.2"/>
    <row r="145" s="1" customFormat="1" x14ac:dyDescent="0.2"/>
    <row r="146" s="1" customFormat="1" x14ac:dyDescent="0.2"/>
  </sheetData>
  <mergeCells count="4">
    <mergeCell ref="A17:F17"/>
    <mergeCell ref="A3:F3"/>
    <mergeCell ref="A7:F7"/>
    <mergeCell ref="A4:E4"/>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showGridLines="0" workbookViewId="0">
      <pane xSplit="1" ySplit="1" topLeftCell="B2" activePane="bottomRight" state="frozen"/>
      <selection pane="topRight" activeCell="B1" sqref="B1"/>
      <selection pane="bottomLeft" activeCell="A2" sqref="A2"/>
      <selection pane="bottomRight" activeCell="I26" sqref="I26"/>
    </sheetView>
  </sheetViews>
  <sheetFormatPr baseColWidth="10" defaultColWidth="10.7109375" defaultRowHeight="15" customHeight="1" x14ac:dyDescent="0.25"/>
  <cols>
    <col min="1" max="1" width="31.5703125" style="157" customWidth="1"/>
    <col min="2" max="2" width="10.5703125" style="163" bestFit="1" customWidth="1"/>
    <col min="3" max="3" width="9.85546875" style="163" bestFit="1" customWidth="1"/>
    <col min="4" max="4" width="7.140625" style="164" bestFit="1" customWidth="1"/>
    <col min="5" max="5" width="10.5703125" style="163" bestFit="1" customWidth="1"/>
    <col min="6" max="6" width="11.7109375" style="157" bestFit="1" customWidth="1"/>
    <col min="7" max="7" width="12.140625" style="157" bestFit="1" customWidth="1"/>
    <col min="8" max="8" width="2.42578125" style="157" customWidth="1"/>
    <col min="9" max="9" width="10.5703125" style="182" bestFit="1" customWidth="1"/>
    <col min="10" max="12" width="10.7109375" style="182"/>
    <col min="13" max="255" width="10.7109375" style="157"/>
    <col min="256" max="256" width="38.28515625" style="157" customWidth="1"/>
    <col min="257" max="257" width="12.140625" style="157" customWidth="1"/>
    <col min="258" max="258" width="12.85546875" style="157" customWidth="1"/>
    <col min="259" max="259" width="14.140625" style="157" customWidth="1"/>
    <col min="260" max="260" width="14.7109375" style="157" customWidth="1"/>
    <col min="261" max="511" width="10.7109375" style="157"/>
    <col min="512" max="512" width="38.28515625" style="157" customWidth="1"/>
    <col min="513" max="513" width="12.140625" style="157" customWidth="1"/>
    <col min="514" max="514" width="12.85546875" style="157" customWidth="1"/>
    <col min="515" max="515" width="14.140625" style="157" customWidth="1"/>
    <col min="516" max="516" width="14.7109375" style="157" customWidth="1"/>
    <col min="517" max="767" width="10.7109375" style="157"/>
    <col min="768" max="768" width="38.28515625" style="157" customWidth="1"/>
    <col min="769" max="769" width="12.140625" style="157" customWidth="1"/>
    <col min="770" max="770" width="12.85546875" style="157" customWidth="1"/>
    <col min="771" max="771" width="14.140625" style="157" customWidth="1"/>
    <col min="772" max="772" width="14.7109375" style="157" customWidth="1"/>
    <col min="773" max="1023" width="10.7109375" style="157"/>
    <col min="1024" max="1024" width="38.28515625" style="157" customWidth="1"/>
    <col min="1025" max="1025" width="12.140625" style="157" customWidth="1"/>
    <col min="1026" max="1026" width="12.85546875" style="157" customWidth="1"/>
    <col min="1027" max="1027" width="14.140625" style="157" customWidth="1"/>
    <col min="1028" max="1028" width="14.7109375" style="157" customWidth="1"/>
    <col min="1029" max="1279" width="10.7109375" style="157"/>
    <col min="1280" max="1280" width="38.28515625" style="157" customWidth="1"/>
    <col min="1281" max="1281" width="12.140625" style="157" customWidth="1"/>
    <col min="1282" max="1282" width="12.85546875" style="157" customWidth="1"/>
    <col min="1283" max="1283" width="14.140625" style="157" customWidth="1"/>
    <col min="1284" max="1284" width="14.7109375" style="157" customWidth="1"/>
    <col min="1285" max="1535" width="10.7109375" style="157"/>
    <col min="1536" max="1536" width="38.28515625" style="157" customWidth="1"/>
    <col min="1537" max="1537" width="12.140625" style="157" customWidth="1"/>
    <col min="1538" max="1538" width="12.85546875" style="157" customWidth="1"/>
    <col min="1539" max="1539" width="14.140625" style="157" customWidth="1"/>
    <col min="1540" max="1540" width="14.7109375" style="157" customWidth="1"/>
    <col min="1541" max="1791" width="10.7109375" style="157"/>
    <col min="1792" max="1792" width="38.28515625" style="157" customWidth="1"/>
    <col min="1793" max="1793" width="12.140625" style="157" customWidth="1"/>
    <col min="1794" max="1794" width="12.85546875" style="157" customWidth="1"/>
    <col min="1795" max="1795" width="14.140625" style="157" customWidth="1"/>
    <col min="1796" max="1796" width="14.7109375" style="157" customWidth="1"/>
    <col min="1797" max="2047" width="10.7109375" style="157"/>
    <col min="2048" max="2048" width="38.28515625" style="157" customWidth="1"/>
    <col min="2049" max="2049" width="12.140625" style="157" customWidth="1"/>
    <col min="2050" max="2050" width="12.85546875" style="157" customWidth="1"/>
    <col min="2051" max="2051" width="14.140625" style="157" customWidth="1"/>
    <col min="2052" max="2052" width="14.7109375" style="157" customWidth="1"/>
    <col min="2053" max="2303" width="10.7109375" style="157"/>
    <col min="2304" max="2304" width="38.28515625" style="157" customWidth="1"/>
    <col min="2305" max="2305" width="12.140625" style="157" customWidth="1"/>
    <col min="2306" max="2306" width="12.85546875" style="157" customWidth="1"/>
    <col min="2307" max="2307" width="14.140625" style="157" customWidth="1"/>
    <col min="2308" max="2308" width="14.7109375" style="157" customWidth="1"/>
    <col min="2309" max="2559" width="10.7109375" style="157"/>
    <col min="2560" max="2560" width="38.28515625" style="157" customWidth="1"/>
    <col min="2561" max="2561" width="12.140625" style="157" customWidth="1"/>
    <col min="2562" max="2562" width="12.85546875" style="157" customWidth="1"/>
    <col min="2563" max="2563" width="14.140625" style="157" customWidth="1"/>
    <col min="2564" max="2564" width="14.7109375" style="157" customWidth="1"/>
    <col min="2565" max="2815" width="10.7109375" style="157"/>
    <col min="2816" max="2816" width="38.28515625" style="157" customWidth="1"/>
    <col min="2817" max="2817" width="12.140625" style="157" customWidth="1"/>
    <col min="2818" max="2818" width="12.85546875" style="157" customWidth="1"/>
    <col min="2819" max="2819" width="14.140625" style="157" customWidth="1"/>
    <col min="2820" max="2820" width="14.7109375" style="157" customWidth="1"/>
    <col min="2821" max="3071" width="10.7109375" style="157"/>
    <col min="3072" max="3072" width="38.28515625" style="157" customWidth="1"/>
    <col min="3073" max="3073" width="12.140625" style="157" customWidth="1"/>
    <col min="3074" max="3074" width="12.85546875" style="157" customWidth="1"/>
    <col min="3075" max="3075" width="14.140625" style="157" customWidth="1"/>
    <col min="3076" max="3076" width="14.7109375" style="157" customWidth="1"/>
    <col min="3077" max="3327" width="10.7109375" style="157"/>
    <col min="3328" max="3328" width="38.28515625" style="157" customWidth="1"/>
    <col min="3329" max="3329" width="12.140625" style="157" customWidth="1"/>
    <col min="3330" max="3330" width="12.85546875" style="157" customWidth="1"/>
    <col min="3331" max="3331" width="14.140625" style="157" customWidth="1"/>
    <col min="3332" max="3332" width="14.7109375" style="157" customWidth="1"/>
    <col min="3333" max="3583" width="10.7109375" style="157"/>
    <col min="3584" max="3584" width="38.28515625" style="157" customWidth="1"/>
    <col min="3585" max="3585" width="12.140625" style="157" customWidth="1"/>
    <col min="3586" max="3586" width="12.85546875" style="157" customWidth="1"/>
    <col min="3587" max="3587" width="14.140625" style="157" customWidth="1"/>
    <col min="3588" max="3588" width="14.7109375" style="157" customWidth="1"/>
    <col min="3589" max="3839" width="10.7109375" style="157"/>
    <col min="3840" max="3840" width="38.28515625" style="157" customWidth="1"/>
    <col min="3841" max="3841" width="12.140625" style="157" customWidth="1"/>
    <col min="3842" max="3842" width="12.85546875" style="157" customWidth="1"/>
    <col min="3843" max="3843" width="14.140625" style="157" customWidth="1"/>
    <col min="3844" max="3844" width="14.7109375" style="157" customWidth="1"/>
    <col min="3845" max="4095" width="10.7109375" style="157"/>
    <col min="4096" max="4096" width="38.28515625" style="157" customWidth="1"/>
    <col min="4097" max="4097" width="12.140625" style="157" customWidth="1"/>
    <col min="4098" max="4098" width="12.85546875" style="157" customWidth="1"/>
    <col min="4099" max="4099" width="14.140625" style="157" customWidth="1"/>
    <col min="4100" max="4100" width="14.7109375" style="157" customWidth="1"/>
    <col min="4101" max="4351" width="10.7109375" style="157"/>
    <col min="4352" max="4352" width="38.28515625" style="157" customWidth="1"/>
    <col min="4353" max="4353" width="12.140625" style="157" customWidth="1"/>
    <col min="4354" max="4354" width="12.85546875" style="157" customWidth="1"/>
    <col min="4355" max="4355" width="14.140625" style="157" customWidth="1"/>
    <col min="4356" max="4356" width="14.7109375" style="157" customWidth="1"/>
    <col min="4357" max="4607" width="10.7109375" style="157"/>
    <col min="4608" max="4608" width="38.28515625" style="157" customWidth="1"/>
    <col min="4609" max="4609" width="12.140625" style="157" customWidth="1"/>
    <col min="4610" max="4610" width="12.85546875" style="157" customWidth="1"/>
    <col min="4611" max="4611" width="14.140625" style="157" customWidth="1"/>
    <col min="4612" max="4612" width="14.7109375" style="157" customWidth="1"/>
    <col min="4613" max="4863" width="10.7109375" style="157"/>
    <col min="4864" max="4864" width="38.28515625" style="157" customWidth="1"/>
    <col min="4865" max="4865" width="12.140625" style="157" customWidth="1"/>
    <col min="4866" max="4866" width="12.85546875" style="157" customWidth="1"/>
    <col min="4867" max="4867" width="14.140625" style="157" customWidth="1"/>
    <col min="4868" max="4868" width="14.7109375" style="157" customWidth="1"/>
    <col min="4869" max="5119" width="10.7109375" style="157"/>
    <col min="5120" max="5120" width="38.28515625" style="157" customWidth="1"/>
    <col min="5121" max="5121" width="12.140625" style="157" customWidth="1"/>
    <col min="5122" max="5122" width="12.85546875" style="157" customWidth="1"/>
    <col min="5123" max="5123" width="14.140625" style="157" customWidth="1"/>
    <col min="5124" max="5124" width="14.7109375" style="157" customWidth="1"/>
    <col min="5125" max="5375" width="10.7109375" style="157"/>
    <col min="5376" max="5376" width="38.28515625" style="157" customWidth="1"/>
    <col min="5377" max="5377" width="12.140625" style="157" customWidth="1"/>
    <col min="5378" max="5378" width="12.85546875" style="157" customWidth="1"/>
    <col min="5379" max="5379" width="14.140625" style="157" customWidth="1"/>
    <col min="5380" max="5380" width="14.7109375" style="157" customWidth="1"/>
    <col min="5381" max="5631" width="10.7109375" style="157"/>
    <col min="5632" max="5632" width="38.28515625" style="157" customWidth="1"/>
    <col min="5633" max="5633" width="12.140625" style="157" customWidth="1"/>
    <col min="5634" max="5634" width="12.85546875" style="157" customWidth="1"/>
    <col min="5635" max="5635" width="14.140625" style="157" customWidth="1"/>
    <col min="5636" max="5636" width="14.7109375" style="157" customWidth="1"/>
    <col min="5637" max="5887" width="10.7109375" style="157"/>
    <col min="5888" max="5888" width="38.28515625" style="157" customWidth="1"/>
    <col min="5889" max="5889" width="12.140625" style="157" customWidth="1"/>
    <col min="5890" max="5890" width="12.85546875" style="157" customWidth="1"/>
    <col min="5891" max="5891" width="14.140625" style="157" customWidth="1"/>
    <col min="5892" max="5892" width="14.7109375" style="157" customWidth="1"/>
    <col min="5893" max="6143" width="10.7109375" style="157"/>
    <col min="6144" max="6144" width="38.28515625" style="157" customWidth="1"/>
    <col min="6145" max="6145" width="12.140625" style="157" customWidth="1"/>
    <col min="6146" max="6146" width="12.85546875" style="157" customWidth="1"/>
    <col min="6147" max="6147" width="14.140625" style="157" customWidth="1"/>
    <col min="6148" max="6148" width="14.7109375" style="157" customWidth="1"/>
    <col min="6149" max="6399" width="10.7109375" style="157"/>
    <col min="6400" max="6400" width="38.28515625" style="157" customWidth="1"/>
    <col min="6401" max="6401" width="12.140625" style="157" customWidth="1"/>
    <col min="6402" max="6402" width="12.85546875" style="157" customWidth="1"/>
    <col min="6403" max="6403" width="14.140625" style="157" customWidth="1"/>
    <col min="6404" max="6404" width="14.7109375" style="157" customWidth="1"/>
    <col min="6405" max="6655" width="10.7109375" style="157"/>
    <col min="6656" max="6656" width="38.28515625" style="157" customWidth="1"/>
    <col min="6657" max="6657" width="12.140625" style="157" customWidth="1"/>
    <col min="6658" max="6658" width="12.85546875" style="157" customWidth="1"/>
    <col min="6659" max="6659" width="14.140625" style="157" customWidth="1"/>
    <col min="6660" max="6660" width="14.7109375" style="157" customWidth="1"/>
    <col min="6661" max="6911" width="10.7109375" style="157"/>
    <col min="6912" max="6912" width="38.28515625" style="157" customWidth="1"/>
    <col min="6913" max="6913" width="12.140625" style="157" customWidth="1"/>
    <col min="6914" max="6914" width="12.85546875" style="157" customWidth="1"/>
    <col min="6915" max="6915" width="14.140625" style="157" customWidth="1"/>
    <col min="6916" max="6916" width="14.7109375" style="157" customWidth="1"/>
    <col min="6917" max="7167" width="10.7109375" style="157"/>
    <col min="7168" max="7168" width="38.28515625" style="157" customWidth="1"/>
    <col min="7169" max="7169" width="12.140625" style="157" customWidth="1"/>
    <col min="7170" max="7170" width="12.85546875" style="157" customWidth="1"/>
    <col min="7171" max="7171" width="14.140625" style="157" customWidth="1"/>
    <col min="7172" max="7172" width="14.7109375" style="157" customWidth="1"/>
    <col min="7173" max="7423" width="10.7109375" style="157"/>
    <col min="7424" max="7424" width="38.28515625" style="157" customWidth="1"/>
    <col min="7425" max="7425" width="12.140625" style="157" customWidth="1"/>
    <col min="7426" max="7426" width="12.85546875" style="157" customWidth="1"/>
    <col min="7427" max="7427" width="14.140625" style="157" customWidth="1"/>
    <col min="7428" max="7428" width="14.7109375" style="157" customWidth="1"/>
    <col min="7429" max="7679" width="10.7109375" style="157"/>
    <col min="7680" max="7680" width="38.28515625" style="157" customWidth="1"/>
    <col min="7681" max="7681" width="12.140625" style="157" customWidth="1"/>
    <col min="7682" max="7682" width="12.85546875" style="157" customWidth="1"/>
    <col min="7683" max="7683" width="14.140625" style="157" customWidth="1"/>
    <col min="7684" max="7684" width="14.7109375" style="157" customWidth="1"/>
    <col min="7685" max="7935" width="10.7109375" style="157"/>
    <col min="7936" max="7936" width="38.28515625" style="157" customWidth="1"/>
    <col min="7937" max="7937" width="12.140625" style="157" customWidth="1"/>
    <col min="7938" max="7938" width="12.85546875" style="157" customWidth="1"/>
    <col min="7939" max="7939" width="14.140625" style="157" customWidth="1"/>
    <col min="7940" max="7940" width="14.7109375" style="157" customWidth="1"/>
    <col min="7941" max="8191" width="10.7109375" style="157"/>
    <col min="8192" max="8192" width="38.28515625" style="157" customWidth="1"/>
    <col min="8193" max="8193" width="12.140625" style="157" customWidth="1"/>
    <col min="8194" max="8194" width="12.85546875" style="157" customWidth="1"/>
    <col min="8195" max="8195" width="14.140625" style="157" customWidth="1"/>
    <col min="8196" max="8196" width="14.7109375" style="157" customWidth="1"/>
    <col min="8197" max="8447" width="10.7109375" style="157"/>
    <col min="8448" max="8448" width="38.28515625" style="157" customWidth="1"/>
    <col min="8449" max="8449" width="12.140625" style="157" customWidth="1"/>
    <col min="8450" max="8450" width="12.85546875" style="157" customWidth="1"/>
    <col min="8451" max="8451" width="14.140625" style="157" customWidth="1"/>
    <col min="8452" max="8452" width="14.7109375" style="157" customWidth="1"/>
    <col min="8453" max="8703" width="10.7109375" style="157"/>
    <col min="8704" max="8704" width="38.28515625" style="157" customWidth="1"/>
    <col min="8705" max="8705" width="12.140625" style="157" customWidth="1"/>
    <col min="8706" max="8706" width="12.85546875" style="157" customWidth="1"/>
    <col min="8707" max="8707" width="14.140625" style="157" customWidth="1"/>
    <col min="8708" max="8708" width="14.7109375" style="157" customWidth="1"/>
    <col min="8709" max="8959" width="10.7109375" style="157"/>
    <col min="8960" max="8960" width="38.28515625" style="157" customWidth="1"/>
    <col min="8961" max="8961" width="12.140625" style="157" customWidth="1"/>
    <col min="8962" max="8962" width="12.85546875" style="157" customWidth="1"/>
    <col min="8963" max="8963" width="14.140625" style="157" customWidth="1"/>
    <col min="8964" max="8964" width="14.7109375" style="157" customWidth="1"/>
    <col min="8965" max="9215" width="10.7109375" style="157"/>
    <col min="9216" max="9216" width="38.28515625" style="157" customWidth="1"/>
    <col min="9217" max="9217" width="12.140625" style="157" customWidth="1"/>
    <col min="9218" max="9218" width="12.85546875" style="157" customWidth="1"/>
    <col min="9219" max="9219" width="14.140625" style="157" customWidth="1"/>
    <col min="9220" max="9220" width="14.7109375" style="157" customWidth="1"/>
    <col min="9221" max="9471" width="10.7109375" style="157"/>
    <col min="9472" max="9472" width="38.28515625" style="157" customWidth="1"/>
    <col min="9473" max="9473" width="12.140625" style="157" customWidth="1"/>
    <col min="9474" max="9474" width="12.85546875" style="157" customWidth="1"/>
    <col min="9475" max="9475" width="14.140625" style="157" customWidth="1"/>
    <col min="9476" max="9476" width="14.7109375" style="157" customWidth="1"/>
    <col min="9477" max="9727" width="10.7109375" style="157"/>
    <col min="9728" max="9728" width="38.28515625" style="157" customWidth="1"/>
    <col min="9729" max="9729" width="12.140625" style="157" customWidth="1"/>
    <col min="9730" max="9730" width="12.85546875" style="157" customWidth="1"/>
    <col min="9731" max="9731" width="14.140625" style="157" customWidth="1"/>
    <col min="9732" max="9732" width="14.7109375" style="157" customWidth="1"/>
    <col min="9733" max="9983" width="10.7109375" style="157"/>
    <col min="9984" max="9984" width="38.28515625" style="157" customWidth="1"/>
    <col min="9985" max="9985" width="12.140625" style="157" customWidth="1"/>
    <col min="9986" max="9986" width="12.85546875" style="157" customWidth="1"/>
    <col min="9987" max="9987" width="14.140625" style="157" customWidth="1"/>
    <col min="9988" max="9988" width="14.7109375" style="157" customWidth="1"/>
    <col min="9989" max="10239" width="10.7109375" style="157"/>
    <col min="10240" max="10240" width="38.28515625" style="157" customWidth="1"/>
    <col min="10241" max="10241" width="12.140625" style="157" customWidth="1"/>
    <col min="10242" max="10242" width="12.85546875" style="157" customWidth="1"/>
    <col min="10243" max="10243" width="14.140625" style="157" customWidth="1"/>
    <col min="10244" max="10244" width="14.7109375" style="157" customWidth="1"/>
    <col min="10245" max="10495" width="10.7109375" style="157"/>
    <col min="10496" max="10496" width="38.28515625" style="157" customWidth="1"/>
    <col min="10497" max="10497" width="12.140625" style="157" customWidth="1"/>
    <col min="10498" max="10498" width="12.85546875" style="157" customWidth="1"/>
    <col min="10499" max="10499" width="14.140625" style="157" customWidth="1"/>
    <col min="10500" max="10500" width="14.7109375" style="157" customWidth="1"/>
    <col min="10501" max="10751" width="10.7109375" style="157"/>
    <col min="10752" max="10752" width="38.28515625" style="157" customWidth="1"/>
    <col min="10753" max="10753" width="12.140625" style="157" customWidth="1"/>
    <col min="10754" max="10754" width="12.85546875" style="157" customWidth="1"/>
    <col min="10755" max="10755" width="14.140625" style="157" customWidth="1"/>
    <col min="10756" max="10756" width="14.7109375" style="157" customWidth="1"/>
    <col min="10757" max="11007" width="10.7109375" style="157"/>
    <col min="11008" max="11008" width="38.28515625" style="157" customWidth="1"/>
    <col min="11009" max="11009" width="12.140625" style="157" customWidth="1"/>
    <col min="11010" max="11010" width="12.85546875" style="157" customWidth="1"/>
    <col min="11011" max="11011" width="14.140625" style="157" customWidth="1"/>
    <col min="11012" max="11012" width="14.7109375" style="157" customWidth="1"/>
    <col min="11013" max="11263" width="10.7109375" style="157"/>
    <col min="11264" max="11264" width="38.28515625" style="157" customWidth="1"/>
    <col min="11265" max="11265" width="12.140625" style="157" customWidth="1"/>
    <col min="11266" max="11266" width="12.85546875" style="157" customWidth="1"/>
    <col min="11267" max="11267" width="14.140625" style="157" customWidth="1"/>
    <col min="11268" max="11268" width="14.7109375" style="157" customWidth="1"/>
    <col min="11269" max="11519" width="10.7109375" style="157"/>
    <col min="11520" max="11520" width="38.28515625" style="157" customWidth="1"/>
    <col min="11521" max="11521" width="12.140625" style="157" customWidth="1"/>
    <col min="11522" max="11522" width="12.85546875" style="157" customWidth="1"/>
    <col min="11523" max="11523" width="14.140625" style="157" customWidth="1"/>
    <col min="11524" max="11524" width="14.7109375" style="157" customWidth="1"/>
    <col min="11525" max="11775" width="10.7109375" style="157"/>
    <col min="11776" max="11776" width="38.28515625" style="157" customWidth="1"/>
    <col min="11777" max="11777" width="12.140625" style="157" customWidth="1"/>
    <col min="11778" max="11778" width="12.85546875" style="157" customWidth="1"/>
    <col min="11779" max="11779" width="14.140625" style="157" customWidth="1"/>
    <col min="11780" max="11780" width="14.7109375" style="157" customWidth="1"/>
    <col min="11781" max="12031" width="10.7109375" style="157"/>
    <col min="12032" max="12032" width="38.28515625" style="157" customWidth="1"/>
    <col min="12033" max="12033" width="12.140625" style="157" customWidth="1"/>
    <col min="12034" max="12034" width="12.85546875" style="157" customWidth="1"/>
    <col min="12035" max="12035" width="14.140625" style="157" customWidth="1"/>
    <col min="12036" max="12036" width="14.7109375" style="157" customWidth="1"/>
    <col min="12037" max="12287" width="10.7109375" style="157"/>
    <col min="12288" max="12288" width="38.28515625" style="157" customWidth="1"/>
    <col min="12289" max="12289" width="12.140625" style="157" customWidth="1"/>
    <col min="12290" max="12290" width="12.85546875" style="157" customWidth="1"/>
    <col min="12291" max="12291" width="14.140625" style="157" customWidth="1"/>
    <col min="12292" max="12292" width="14.7109375" style="157" customWidth="1"/>
    <col min="12293" max="12543" width="10.7109375" style="157"/>
    <col min="12544" max="12544" width="38.28515625" style="157" customWidth="1"/>
    <col min="12545" max="12545" width="12.140625" style="157" customWidth="1"/>
    <col min="12546" max="12546" width="12.85546875" style="157" customWidth="1"/>
    <col min="12547" max="12547" width="14.140625" style="157" customWidth="1"/>
    <col min="12548" max="12548" width="14.7109375" style="157" customWidth="1"/>
    <col min="12549" max="12799" width="10.7109375" style="157"/>
    <col min="12800" max="12800" width="38.28515625" style="157" customWidth="1"/>
    <col min="12801" max="12801" width="12.140625" style="157" customWidth="1"/>
    <col min="12802" max="12802" width="12.85546875" style="157" customWidth="1"/>
    <col min="12803" max="12803" width="14.140625" style="157" customWidth="1"/>
    <col min="12804" max="12804" width="14.7109375" style="157" customWidth="1"/>
    <col min="12805" max="13055" width="10.7109375" style="157"/>
    <col min="13056" max="13056" width="38.28515625" style="157" customWidth="1"/>
    <col min="13057" max="13057" width="12.140625" style="157" customWidth="1"/>
    <col min="13058" max="13058" width="12.85546875" style="157" customWidth="1"/>
    <col min="13059" max="13059" width="14.140625" style="157" customWidth="1"/>
    <col min="13060" max="13060" width="14.7109375" style="157" customWidth="1"/>
    <col min="13061" max="13311" width="10.7109375" style="157"/>
    <col min="13312" max="13312" width="38.28515625" style="157" customWidth="1"/>
    <col min="13313" max="13313" width="12.140625" style="157" customWidth="1"/>
    <col min="13314" max="13314" width="12.85546875" style="157" customWidth="1"/>
    <col min="13315" max="13315" width="14.140625" style="157" customWidth="1"/>
    <col min="13316" max="13316" width="14.7109375" style="157" customWidth="1"/>
    <col min="13317" max="13567" width="10.7109375" style="157"/>
    <col min="13568" max="13568" width="38.28515625" style="157" customWidth="1"/>
    <col min="13569" max="13569" width="12.140625" style="157" customWidth="1"/>
    <col min="13570" max="13570" width="12.85546875" style="157" customWidth="1"/>
    <col min="13571" max="13571" width="14.140625" style="157" customWidth="1"/>
    <col min="13572" max="13572" width="14.7109375" style="157" customWidth="1"/>
    <col min="13573" max="13823" width="10.7109375" style="157"/>
    <col min="13824" max="13824" width="38.28515625" style="157" customWidth="1"/>
    <col min="13825" max="13825" width="12.140625" style="157" customWidth="1"/>
    <col min="13826" max="13826" width="12.85546875" style="157" customWidth="1"/>
    <col min="13827" max="13827" width="14.140625" style="157" customWidth="1"/>
    <col min="13828" max="13828" width="14.7109375" style="157" customWidth="1"/>
    <col min="13829" max="14079" width="10.7109375" style="157"/>
    <col min="14080" max="14080" width="38.28515625" style="157" customWidth="1"/>
    <col min="14081" max="14081" width="12.140625" style="157" customWidth="1"/>
    <col min="14082" max="14082" width="12.85546875" style="157" customWidth="1"/>
    <col min="14083" max="14083" width="14.140625" style="157" customWidth="1"/>
    <col min="14084" max="14084" width="14.7109375" style="157" customWidth="1"/>
    <col min="14085" max="14335" width="10.7109375" style="157"/>
    <col min="14336" max="14336" width="38.28515625" style="157" customWidth="1"/>
    <col min="14337" max="14337" width="12.140625" style="157" customWidth="1"/>
    <col min="14338" max="14338" width="12.85546875" style="157" customWidth="1"/>
    <col min="14339" max="14339" width="14.140625" style="157" customWidth="1"/>
    <col min="14340" max="14340" width="14.7109375" style="157" customWidth="1"/>
    <col min="14341" max="14591" width="10.7109375" style="157"/>
    <col min="14592" max="14592" width="38.28515625" style="157" customWidth="1"/>
    <col min="14593" max="14593" width="12.140625" style="157" customWidth="1"/>
    <col min="14594" max="14594" width="12.85546875" style="157" customWidth="1"/>
    <col min="14595" max="14595" width="14.140625" style="157" customWidth="1"/>
    <col min="14596" max="14596" width="14.7109375" style="157" customWidth="1"/>
    <col min="14597" max="14847" width="10.7109375" style="157"/>
    <col min="14848" max="14848" width="38.28515625" style="157" customWidth="1"/>
    <col min="14849" max="14849" width="12.140625" style="157" customWidth="1"/>
    <col min="14850" max="14850" width="12.85546875" style="157" customWidth="1"/>
    <col min="14851" max="14851" width="14.140625" style="157" customWidth="1"/>
    <col min="14852" max="14852" width="14.7109375" style="157" customWidth="1"/>
    <col min="14853" max="15103" width="10.7109375" style="157"/>
    <col min="15104" max="15104" width="38.28515625" style="157" customWidth="1"/>
    <col min="15105" max="15105" width="12.140625" style="157" customWidth="1"/>
    <col min="15106" max="15106" width="12.85546875" style="157" customWidth="1"/>
    <col min="15107" max="15107" width="14.140625" style="157" customWidth="1"/>
    <col min="15108" max="15108" width="14.7109375" style="157" customWidth="1"/>
    <col min="15109" max="15359" width="10.7109375" style="157"/>
    <col min="15360" max="15360" width="38.28515625" style="157" customWidth="1"/>
    <col min="15361" max="15361" width="12.140625" style="157" customWidth="1"/>
    <col min="15362" max="15362" width="12.85546875" style="157" customWidth="1"/>
    <col min="15363" max="15363" width="14.140625" style="157" customWidth="1"/>
    <col min="15364" max="15364" width="14.7109375" style="157" customWidth="1"/>
    <col min="15365" max="15615" width="10.7109375" style="157"/>
    <col min="15616" max="15616" width="38.28515625" style="157" customWidth="1"/>
    <col min="15617" max="15617" width="12.140625" style="157" customWidth="1"/>
    <col min="15618" max="15618" width="12.85546875" style="157" customWidth="1"/>
    <col min="15619" max="15619" width="14.140625" style="157" customWidth="1"/>
    <col min="15620" max="15620" width="14.7109375" style="157" customWidth="1"/>
    <col min="15621" max="15871" width="10.7109375" style="157"/>
    <col min="15872" max="15872" width="38.28515625" style="157" customWidth="1"/>
    <col min="15873" max="15873" width="12.140625" style="157" customWidth="1"/>
    <col min="15874" max="15874" width="12.85546875" style="157" customWidth="1"/>
    <col min="15875" max="15875" width="14.140625" style="157" customWidth="1"/>
    <col min="15876" max="15876" width="14.7109375" style="157" customWidth="1"/>
    <col min="15877" max="16127" width="10.7109375" style="157"/>
    <col min="16128" max="16128" width="38.28515625" style="157" customWidth="1"/>
    <col min="16129" max="16129" width="12.140625" style="157" customWidth="1"/>
    <col min="16130" max="16130" width="12.85546875" style="157" customWidth="1"/>
    <col min="16131" max="16131" width="14.140625" style="157" customWidth="1"/>
    <col min="16132" max="16132" width="14.7109375" style="157" customWidth="1"/>
    <col min="16133" max="16384" width="10.7109375" style="157"/>
  </cols>
  <sheetData>
    <row r="1" spans="1:11" ht="15" customHeight="1" x14ac:dyDescent="0.25">
      <c r="A1" s="175"/>
      <c r="B1" s="183" t="s">
        <v>259</v>
      </c>
      <c r="C1" s="183" t="s">
        <v>260</v>
      </c>
      <c r="D1" s="183" t="s">
        <v>261</v>
      </c>
      <c r="E1" s="183" t="s">
        <v>236</v>
      </c>
      <c r="F1" s="183" t="s">
        <v>237</v>
      </c>
      <c r="G1" s="183" t="s">
        <v>238</v>
      </c>
      <c r="I1" s="182">
        <v>1000000</v>
      </c>
    </row>
    <row r="2" spans="1:11" ht="15" customHeight="1" x14ac:dyDescent="0.25">
      <c r="A2" s="158" t="s">
        <v>239</v>
      </c>
      <c r="B2" s="159">
        <v>0.7</v>
      </c>
      <c r="C2" s="159">
        <f>1-B2</f>
        <v>0.30000000000000004</v>
      </c>
      <c r="D2" s="159"/>
      <c r="E2" s="160"/>
      <c r="I2" s="182">
        <f>+B2*I1</f>
        <v>700000</v>
      </c>
      <c r="J2" s="182">
        <f>+C2*I1</f>
        <v>300000.00000000006</v>
      </c>
      <c r="K2" s="182">
        <f>SUM(I2:J2)</f>
        <v>1000000</v>
      </c>
    </row>
    <row r="3" spans="1:11" ht="15" customHeight="1" x14ac:dyDescent="0.25">
      <c r="A3" s="170" t="s">
        <v>240</v>
      </c>
      <c r="B3" s="171">
        <f>30/360</f>
        <v>8.3333333333333329E-2</v>
      </c>
      <c r="C3" s="171">
        <f>30/360</f>
        <v>8.3333333333333329E-2</v>
      </c>
      <c r="D3" s="172">
        <f>+$B$2*B3+$C$2*C3</f>
        <v>8.3333333333333329E-2</v>
      </c>
      <c r="E3" s="171"/>
      <c r="F3" s="170"/>
      <c r="G3" s="170"/>
      <c r="I3" s="182">
        <f>+$I$2*B3</f>
        <v>58333.333333333328</v>
      </c>
      <c r="J3" s="182">
        <f>+$J$2*C3</f>
        <v>25000.000000000004</v>
      </c>
      <c r="K3" s="182">
        <f t="shared" ref="K3:K7" si="0">SUM(I3:J3)</f>
        <v>83333.333333333328</v>
      </c>
    </row>
    <row r="4" spans="1:11" ht="15" customHeight="1" x14ac:dyDescent="0.25">
      <c r="A4" s="170" t="s">
        <v>241</v>
      </c>
      <c r="B4" s="171">
        <f>30/360</f>
        <v>8.3333333333333329E-2</v>
      </c>
      <c r="C4" s="171">
        <f>30/360</f>
        <v>8.3333333333333329E-2</v>
      </c>
      <c r="D4" s="172">
        <f t="shared" ref="D4:D14" si="1">+$B$2*B4+$C$2*C4</f>
        <v>8.3333333333333329E-2</v>
      </c>
      <c r="E4" s="171"/>
      <c r="F4" s="170"/>
      <c r="G4" s="170"/>
      <c r="I4" s="182">
        <f t="shared" ref="I4:I6" si="2">+$I$2*B4</f>
        <v>58333.333333333328</v>
      </c>
      <c r="J4" s="182">
        <f t="shared" ref="J4:J6" si="3">+$J$2*C4</f>
        <v>25000.000000000004</v>
      </c>
      <c r="K4" s="182">
        <f t="shared" si="0"/>
        <v>83333.333333333328</v>
      </c>
    </row>
    <row r="5" spans="1:11" ht="15" customHeight="1" x14ac:dyDescent="0.25">
      <c r="A5" s="170" t="s">
        <v>242</v>
      </c>
      <c r="B5" s="171">
        <v>0.01</v>
      </c>
      <c r="C5" s="171">
        <v>0.01</v>
      </c>
      <c r="D5" s="172">
        <f t="shared" si="1"/>
        <v>0.01</v>
      </c>
      <c r="E5" s="171"/>
      <c r="F5" s="170"/>
      <c r="G5" s="170"/>
      <c r="I5" s="182">
        <f t="shared" si="2"/>
        <v>7000</v>
      </c>
      <c r="J5" s="182">
        <f t="shared" si="3"/>
        <v>3000.0000000000005</v>
      </c>
      <c r="K5" s="182">
        <f t="shared" si="0"/>
        <v>10000</v>
      </c>
    </row>
    <row r="6" spans="1:11" ht="15" customHeight="1" x14ac:dyDescent="0.25">
      <c r="A6" s="170" t="s">
        <v>235</v>
      </c>
      <c r="B6" s="171">
        <f>21/360</f>
        <v>5.8333333333333334E-2</v>
      </c>
      <c r="C6" s="171"/>
      <c r="D6" s="172">
        <f t="shared" si="1"/>
        <v>4.0833333333333333E-2</v>
      </c>
      <c r="E6" s="171">
        <f>21/360</f>
        <v>5.8333333333333334E-2</v>
      </c>
      <c r="F6" s="170"/>
      <c r="G6" s="170"/>
      <c r="I6" s="182">
        <f t="shared" si="2"/>
        <v>40833.333333333336</v>
      </c>
      <c r="J6" s="182">
        <f t="shared" si="3"/>
        <v>0</v>
      </c>
      <c r="K6" s="182">
        <f t="shared" si="0"/>
        <v>40833.333333333336</v>
      </c>
    </row>
    <row r="7" spans="1:11" ht="15" customHeight="1" x14ac:dyDescent="0.25">
      <c r="A7" s="175"/>
      <c r="B7" s="176">
        <f t="shared" ref="B7:G7" si="4">SUM(B3:B6)</f>
        <v>0.23499999999999999</v>
      </c>
      <c r="C7" s="176">
        <f t="shared" si="4"/>
        <v>0.17666666666666667</v>
      </c>
      <c r="D7" s="176">
        <f t="shared" si="4"/>
        <v>0.2175</v>
      </c>
      <c r="E7" s="176">
        <f t="shared" si="4"/>
        <v>5.8333333333333334E-2</v>
      </c>
      <c r="F7" s="176">
        <f t="shared" si="4"/>
        <v>0</v>
      </c>
      <c r="G7" s="176">
        <f t="shared" si="4"/>
        <v>0</v>
      </c>
      <c r="I7" s="182">
        <f>SUM(I3:I6)</f>
        <v>164500</v>
      </c>
      <c r="J7" s="182">
        <f>SUM(J3:J6)</f>
        <v>53000.000000000007</v>
      </c>
      <c r="K7" s="182">
        <f t="shared" si="0"/>
        <v>217500</v>
      </c>
    </row>
    <row r="8" spans="1:11" ht="15" customHeight="1" x14ac:dyDescent="0.25">
      <c r="A8" s="158" t="s">
        <v>243</v>
      </c>
      <c r="B8" s="160"/>
      <c r="C8" s="160"/>
      <c r="D8" s="161"/>
      <c r="E8" s="160"/>
    </row>
    <row r="9" spans="1:11" ht="15" customHeight="1" x14ac:dyDescent="0.25">
      <c r="A9" s="170" t="s">
        <v>244</v>
      </c>
      <c r="B9" s="173">
        <v>8.5000000000000006E-2</v>
      </c>
      <c r="C9" s="173"/>
      <c r="D9" s="172">
        <f>+$B$2*B9+$C$2*C9</f>
        <v>5.9499999999999997E-2</v>
      </c>
      <c r="E9" s="173">
        <f t="shared" ref="E9:E14" si="5">B9*0.7</f>
        <v>5.9499999999999997E-2</v>
      </c>
      <c r="F9" s="170"/>
      <c r="G9" s="170"/>
      <c r="I9" s="182">
        <f>+B9*I$2</f>
        <v>59500.000000000007</v>
      </c>
      <c r="J9" s="182">
        <f>+C9*J$2</f>
        <v>0</v>
      </c>
      <c r="K9" s="182">
        <f>SUM(I9:J9)</f>
        <v>59500.000000000007</v>
      </c>
    </row>
    <row r="10" spans="1:11" ht="15" customHeight="1" x14ac:dyDescent="0.25">
      <c r="A10" s="170" t="s">
        <v>245</v>
      </c>
      <c r="B10" s="173">
        <v>0.12</v>
      </c>
      <c r="C10" s="173"/>
      <c r="D10" s="172">
        <f t="shared" si="1"/>
        <v>8.3999999999999991E-2</v>
      </c>
      <c r="E10" s="173">
        <f t="shared" si="5"/>
        <v>8.3999999999999991E-2</v>
      </c>
      <c r="F10" s="170"/>
      <c r="G10" s="170"/>
      <c r="I10" s="182">
        <f t="shared" ref="I10:J14" si="6">+B10*I$2</f>
        <v>84000</v>
      </c>
      <c r="J10" s="182">
        <f t="shared" si="6"/>
        <v>0</v>
      </c>
      <c r="K10" s="182">
        <f t="shared" ref="K10:K15" si="7">SUM(I10:J10)</f>
        <v>84000</v>
      </c>
    </row>
    <row r="11" spans="1:11" ht="15" customHeight="1" x14ac:dyDescent="0.25">
      <c r="A11" s="170" t="s">
        <v>246</v>
      </c>
      <c r="B11" s="174">
        <v>5.2199999999999998E-3</v>
      </c>
      <c r="C11" s="174"/>
      <c r="D11" s="172">
        <f t="shared" si="1"/>
        <v>3.6539999999999997E-3</v>
      </c>
      <c r="E11" s="173">
        <f t="shared" si="5"/>
        <v>3.6539999999999997E-3</v>
      </c>
      <c r="F11" s="170"/>
      <c r="G11" s="170"/>
      <c r="I11" s="182">
        <f t="shared" si="6"/>
        <v>3654</v>
      </c>
      <c r="J11" s="182">
        <f t="shared" si="6"/>
        <v>0</v>
      </c>
      <c r="K11" s="182">
        <f t="shared" si="7"/>
        <v>3654</v>
      </c>
    </row>
    <row r="12" spans="1:11" ht="15" customHeight="1" x14ac:dyDescent="0.25">
      <c r="A12" s="170" t="s">
        <v>247</v>
      </c>
      <c r="B12" s="173">
        <v>0.04</v>
      </c>
      <c r="C12" s="173"/>
      <c r="D12" s="172">
        <f t="shared" si="1"/>
        <v>2.7999999999999997E-2</v>
      </c>
      <c r="E12" s="173">
        <f t="shared" si="5"/>
        <v>2.7999999999999997E-2</v>
      </c>
      <c r="F12" s="170"/>
      <c r="G12" s="170"/>
      <c r="I12" s="182">
        <f t="shared" si="6"/>
        <v>28000</v>
      </c>
      <c r="J12" s="182">
        <f t="shared" si="6"/>
        <v>0</v>
      </c>
      <c r="K12" s="182">
        <f t="shared" si="7"/>
        <v>28000</v>
      </c>
    </row>
    <row r="13" spans="1:11" ht="15" customHeight="1" x14ac:dyDescent="0.25">
      <c r="A13" s="170" t="s">
        <v>248</v>
      </c>
      <c r="B13" s="173">
        <v>0.03</v>
      </c>
      <c r="C13" s="173"/>
      <c r="D13" s="172">
        <f t="shared" si="1"/>
        <v>2.0999999999999998E-2</v>
      </c>
      <c r="E13" s="173">
        <f t="shared" si="5"/>
        <v>2.0999999999999998E-2</v>
      </c>
      <c r="F13" s="170"/>
      <c r="G13" s="170"/>
      <c r="I13" s="182">
        <f t="shared" si="6"/>
        <v>21000</v>
      </c>
      <c r="J13" s="182">
        <f t="shared" si="6"/>
        <v>0</v>
      </c>
      <c r="K13" s="182">
        <f t="shared" si="7"/>
        <v>21000</v>
      </c>
    </row>
    <row r="14" spans="1:11" ht="15" customHeight="1" x14ac:dyDescent="0.25">
      <c r="A14" s="170" t="s">
        <v>249</v>
      </c>
      <c r="B14" s="173">
        <v>0.02</v>
      </c>
      <c r="C14" s="173"/>
      <c r="D14" s="172">
        <f t="shared" si="1"/>
        <v>1.3999999999999999E-2</v>
      </c>
      <c r="E14" s="173">
        <f t="shared" si="5"/>
        <v>1.3999999999999999E-2</v>
      </c>
      <c r="F14" s="170"/>
      <c r="G14" s="170"/>
      <c r="I14" s="182">
        <f t="shared" si="6"/>
        <v>14000</v>
      </c>
      <c r="J14" s="182">
        <f t="shared" si="6"/>
        <v>0</v>
      </c>
      <c r="K14" s="182">
        <f t="shared" si="7"/>
        <v>14000</v>
      </c>
    </row>
    <row r="15" spans="1:11" ht="15" customHeight="1" x14ac:dyDescent="0.25">
      <c r="A15" s="175"/>
      <c r="B15" s="177">
        <f>SUM(B9:B14)</f>
        <v>0.30022000000000004</v>
      </c>
      <c r="C15" s="177">
        <f t="shared" ref="C15:G15" si="8">SUM(C9:C14)</f>
        <v>0</v>
      </c>
      <c r="D15" s="177">
        <f t="shared" si="8"/>
        <v>0.21015399999999995</v>
      </c>
      <c r="E15" s="177">
        <f>SUM(E9:E14)</f>
        <v>0.21015399999999995</v>
      </c>
      <c r="F15" s="177">
        <f t="shared" si="8"/>
        <v>0</v>
      </c>
      <c r="G15" s="177">
        <f t="shared" si="8"/>
        <v>0</v>
      </c>
      <c r="I15" s="182">
        <f>SUM(I9:I14)</f>
        <v>210154</v>
      </c>
      <c r="J15" s="182">
        <f>SUM(J9:J14)</f>
        <v>0</v>
      </c>
      <c r="K15" s="182">
        <f t="shared" si="7"/>
        <v>210154</v>
      </c>
    </row>
    <row r="16" spans="1:11" ht="6" customHeight="1" x14ac:dyDescent="0.25"/>
    <row r="17" spans="1:11" ht="15" customHeight="1" x14ac:dyDescent="0.25">
      <c r="A17" s="175"/>
      <c r="B17" s="177">
        <f t="shared" ref="B17:G17" si="9">SUM(B15,B7)</f>
        <v>0.53522000000000003</v>
      </c>
      <c r="C17" s="177">
        <f t="shared" si="9"/>
        <v>0.17666666666666667</v>
      </c>
      <c r="D17" s="177">
        <f>SUM(D15,D7)</f>
        <v>0.42765399999999998</v>
      </c>
      <c r="E17" s="177">
        <f>SUM(E15,E7)</f>
        <v>0.2684873333333333</v>
      </c>
      <c r="F17" s="177">
        <f t="shared" si="9"/>
        <v>0</v>
      </c>
      <c r="G17" s="177">
        <f t="shared" si="9"/>
        <v>0</v>
      </c>
      <c r="I17" s="182">
        <f>SUM(I7,I15)</f>
        <v>374654</v>
      </c>
      <c r="J17" s="182">
        <f t="shared" ref="J17" si="10">SUM(J7,J15)</f>
        <v>53000.000000000007</v>
      </c>
      <c r="K17" s="182">
        <f>SUM(K7,K15)</f>
        <v>427654</v>
      </c>
    </row>
    <row r="18" spans="1:11" ht="15" customHeight="1" x14ac:dyDescent="0.25">
      <c r="A18" s="158" t="s">
        <v>250</v>
      </c>
    </row>
    <row r="19" spans="1:11" ht="15" customHeight="1" x14ac:dyDescent="0.25">
      <c r="A19" s="157" t="s">
        <v>251</v>
      </c>
      <c r="B19" s="162">
        <v>0.02</v>
      </c>
      <c r="C19" s="162"/>
      <c r="D19" s="160"/>
      <c r="E19" s="162">
        <v>0.02</v>
      </c>
      <c r="F19" s="165">
        <v>0.02</v>
      </c>
    </row>
    <row r="20" spans="1:11" ht="15" customHeight="1" x14ac:dyDescent="0.25">
      <c r="A20" s="157" t="s">
        <v>252</v>
      </c>
      <c r="B20" s="162">
        <v>3.5000000000000003E-2</v>
      </c>
      <c r="C20" s="162"/>
      <c r="D20" s="160"/>
      <c r="E20" s="162">
        <v>3.5000000000000003E-2</v>
      </c>
      <c r="F20" s="165">
        <v>3.5000000000000003E-2</v>
      </c>
    </row>
    <row r="21" spans="1:11" ht="15" customHeight="1" x14ac:dyDescent="0.25">
      <c r="A21" s="180" t="s">
        <v>253</v>
      </c>
      <c r="B21" s="178">
        <f>30/360</f>
        <v>8.3333333333333329E-2</v>
      </c>
      <c r="C21" s="178"/>
      <c r="D21" s="179"/>
      <c r="E21" s="178">
        <f>20/360</f>
        <v>5.5555555555555552E-2</v>
      </c>
    </row>
    <row r="22" spans="1:11" ht="15" customHeight="1" x14ac:dyDescent="0.25">
      <c r="A22" s="157" t="s">
        <v>254</v>
      </c>
      <c r="G22" s="166"/>
    </row>
    <row r="23" spans="1:11" ht="15" customHeight="1" x14ac:dyDescent="0.25">
      <c r="A23" s="157" t="s">
        <v>255</v>
      </c>
      <c r="G23" s="167">
        <v>70000</v>
      </c>
    </row>
    <row r="24" spans="1:11" x14ac:dyDescent="0.25">
      <c r="A24" s="157" t="s">
        <v>256</v>
      </c>
      <c r="B24" s="168">
        <v>515000</v>
      </c>
      <c r="C24" s="168"/>
      <c r="D24" s="169"/>
      <c r="E24" s="168">
        <f>B24*13</f>
        <v>6695000</v>
      </c>
    </row>
    <row r="25" spans="1:11" ht="15" customHeight="1" x14ac:dyDescent="0.25">
      <c r="A25" s="157" t="s">
        <v>257</v>
      </c>
      <c r="B25" s="168">
        <v>61500</v>
      </c>
      <c r="C25" s="168"/>
      <c r="D25" s="169"/>
    </row>
    <row r="26" spans="1:11" ht="15" customHeight="1" x14ac:dyDescent="0.25">
      <c r="A26" s="157" t="s">
        <v>258</v>
      </c>
      <c r="B26" s="168">
        <v>206000</v>
      </c>
      <c r="C26" s="168"/>
      <c r="D26" s="169"/>
    </row>
    <row r="27" spans="1:11" ht="30" x14ac:dyDescent="0.25">
      <c r="A27" s="181" t="s">
        <v>262</v>
      </c>
      <c r="B27" s="168">
        <f>+B24*2</f>
        <v>1030000</v>
      </c>
      <c r="C27" s="168"/>
      <c r="D27" s="169"/>
      <c r="E27" s="168">
        <f>+B27</f>
        <v>1030000</v>
      </c>
      <c r="G27" s="167">
        <f>+B27</f>
        <v>1030000</v>
      </c>
    </row>
    <row r="28" spans="1:11" ht="15" customHeight="1" x14ac:dyDescent="0.25">
      <c r="B28" s="403"/>
    </row>
    <row r="29" spans="1:11" ht="15" customHeight="1" x14ac:dyDescent="0.25">
      <c r="A29" s="157" t="s">
        <v>371</v>
      </c>
      <c r="B29" s="404">
        <v>0.12</v>
      </c>
    </row>
    <row r="30" spans="1:11" ht="15" customHeight="1" x14ac:dyDescent="0.25">
      <c r="A30" s="163" t="s">
        <v>370</v>
      </c>
      <c r="B30" s="403">
        <v>0.09</v>
      </c>
      <c r="D30" s="160">
        <f>(1+D3)*(1+D4)-1</f>
        <v>0.17361111111111094</v>
      </c>
    </row>
  </sheetData>
  <pageMargins left="0.7" right="0.7" top="0.75" bottom="0.75" header="0.51180555555555551" footer="0.51180555555555551"/>
  <pageSetup firstPageNumber="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37"/>
  <sheetViews>
    <sheetView showGridLines="0" topLeftCell="A10" workbookViewId="0">
      <selection activeCell="B12" sqref="B12"/>
    </sheetView>
  </sheetViews>
  <sheetFormatPr baseColWidth="10" defaultRowHeight="15" x14ac:dyDescent="0.2"/>
  <cols>
    <col min="1" max="1" width="54.42578125" style="231" bestFit="1" customWidth="1"/>
    <col min="2" max="2" width="15.140625" style="231" customWidth="1"/>
    <col min="3" max="3" width="10.28515625" style="231" bestFit="1" customWidth="1"/>
    <col min="4" max="4" width="6.28515625" style="450" customWidth="1"/>
    <col min="5" max="5" width="6.28515625" style="231" customWidth="1"/>
    <col min="6" max="16384" width="11.42578125" style="231"/>
  </cols>
  <sheetData>
    <row r="1" spans="1:4" ht="22.5" x14ac:dyDescent="0.2">
      <c r="A1" s="452" t="s">
        <v>338</v>
      </c>
      <c r="B1" s="453" t="s">
        <v>376</v>
      </c>
      <c r="C1" s="454" t="s">
        <v>580</v>
      </c>
    </row>
    <row r="2" spans="1:4" x14ac:dyDescent="0.2">
      <c r="A2" s="698" t="s">
        <v>596</v>
      </c>
      <c r="B2" s="559">
        <v>2585712</v>
      </c>
      <c r="C2" s="559">
        <f>+B2</f>
        <v>2585712</v>
      </c>
      <c r="D2" s="451" t="str">
        <f>+IF(B2=C2,"R","Q")</f>
        <v>R</v>
      </c>
    </row>
    <row r="3" spans="1:4" x14ac:dyDescent="0.2">
      <c r="A3" s="698" t="s">
        <v>597</v>
      </c>
      <c r="B3" s="559">
        <v>3108712</v>
      </c>
      <c r="C3" s="559">
        <f t="shared" ref="C3:C37" si="0">+B3</f>
        <v>3108712</v>
      </c>
      <c r="D3" s="451" t="str">
        <f t="shared" ref="D3:D37" si="1">+IF(B3=C3,"R","Q")</f>
        <v>R</v>
      </c>
    </row>
    <row r="4" spans="1:4" x14ac:dyDescent="0.2">
      <c r="A4" s="698" t="s">
        <v>598</v>
      </c>
      <c r="B4" s="559">
        <v>3108712</v>
      </c>
      <c r="C4" s="559">
        <f t="shared" si="0"/>
        <v>3108712</v>
      </c>
      <c r="D4" s="451" t="str">
        <f t="shared" si="1"/>
        <v>R</v>
      </c>
    </row>
    <row r="5" spans="1:4" x14ac:dyDescent="0.2">
      <c r="A5" s="698" t="s">
        <v>748</v>
      </c>
      <c r="B5" s="559">
        <v>3867062</v>
      </c>
      <c r="C5" s="559">
        <f t="shared" si="0"/>
        <v>3867062</v>
      </c>
      <c r="D5" s="451" t="str">
        <f t="shared" si="1"/>
        <v>R</v>
      </c>
    </row>
    <row r="6" spans="1:4" x14ac:dyDescent="0.2">
      <c r="A6" s="698" t="s">
        <v>599</v>
      </c>
      <c r="B6" s="559">
        <v>1240556</v>
      </c>
      <c r="C6" s="559">
        <f t="shared" si="0"/>
        <v>1240556</v>
      </c>
      <c r="D6" s="451" t="str">
        <f t="shared" si="1"/>
        <v>R</v>
      </c>
    </row>
    <row r="7" spans="1:4" x14ac:dyDescent="0.2">
      <c r="A7" s="698" t="s">
        <v>600</v>
      </c>
      <c r="B7" s="559">
        <v>1841622.5774000001</v>
      </c>
      <c r="C7" s="559">
        <f t="shared" si="0"/>
        <v>1841622.5774000001</v>
      </c>
      <c r="D7" s="451" t="str">
        <f t="shared" si="1"/>
        <v>R</v>
      </c>
    </row>
    <row r="8" spans="1:4" x14ac:dyDescent="0.2">
      <c r="A8" s="698" t="s">
        <v>601</v>
      </c>
      <c r="B8" s="559">
        <v>2742612</v>
      </c>
      <c r="C8" s="559">
        <f t="shared" si="0"/>
        <v>2742612</v>
      </c>
      <c r="D8" s="451" t="str">
        <f t="shared" si="1"/>
        <v>R</v>
      </c>
    </row>
    <row r="9" spans="1:4" x14ac:dyDescent="0.2">
      <c r="A9" s="698" t="s">
        <v>602</v>
      </c>
      <c r="B9" s="559">
        <v>1555402</v>
      </c>
      <c r="C9" s="559">
        <f t="shared" si="0"/>
        <v>1555402</v>
      </c>
      <c r="D9" s="451" t="str">
        <f t="shared" si="1"/>
        <v>R</v>
      </c>
    </row>
    <row r="10" spans="1:4" x14ac:dyDescent="0.2">
      <c r="A10" s="698" t="s">
        <v>746</v>
      </c>
      <c r="B10" s="559">
        <v>2024010</v>
      </c>
      <c r="C10" s="559">
        <f t="shared" si="0"/>
        <v>2024010</v>
      </c>
      <c r="D10" s="451" t="str">
        <f t="shared" si="1"/>
        <v>R</v>
      </c>
    </row>
    <row r="11" spans="1:4" x14ac:dyDescent="0.2">
      <c r="A11" s="698" t="s">
        <v>747</v>
      </c>
      <c r="B11" s="559">
        <v>2742612</v>
      </c>
      <c r="C11" s="559">
        <f t="shared" si="0"/>
        <v>2742612</v>
      </c>
      <c r="D11" s="451" t="str">
        <f t="shared" si="1"/>
        <v>R</v>
      </c>
    </row>
    <row r="12" spans="1:4" x14ac:dyDescent="0.2">
      <c r="A12" t="s">
        <v>603</v>
      </c>
      <c r="B12" s="559">
        <v>5200800.1176470593</v>
      </c>
      <c r="C12" s="559">
        <f t="shared" si="0"/>
        <v>5200800.1176470593</v>
      </c>
      <c r="D12" s="451" t="str">
        <f t="shared" si="1"/>
        <v>R</v>
      </c>
    </row>
    <row r="13" spans="1:4" x14ac:dyDescent="0.2">
      <c r="A13" t="s">
        <v>604</v>
      </c>
      <c r="B13" s="559">
        <v>7818999.4285714282</v>
      </c>
      <c r="C13" s="559">
        <f t="shared" si="0"/>
        <v>7818999.4285714282</v>
      </c>
      <c r="D13" s="451" t="str">
        <f t="shared" si="1"/>
        <v>R</v>
      </c>
    </row>
    <row r="14" spans="1:4" x14ac:dyDescent="0.2">
      <c r="A14" t="s">
        <v>605</v>
      </c>
      <c r="B14" s="559">
        <v>4224794</v>
      </c>
      <c r="C14" s="559">
        <f t="shared" si="0"/>
        <v>4224794</v>
      </c>
      <c r="D14" s="451" t="str">
        <f t="shared" si="1"/>
        <v>R</v>
      </c>
    </row>
    <row r="15" spans="1:4" x14ac:dyDescent="0.2">
      <c r="A15" t="s">
        <v>606</v>
      </c>
      <c r="B15" s="559">
        <v>4001865.25</v>
      </c>
      <c r="C15" s="559">
        <f t="shared" si="0"/>
        <v>4001865.25</v>
      </c>
      <c r="D15" s="451" t="str">
        <f t="shared" si="1"/>
        <v>R</v>
      </c>
    </row>
    <row r="16" spans="1:4" x14ac:dyDescent="0.2">
      <c r="A16" t="s">
        <v>607</v>
      </c>
      <c r="B16" s="559">
        <v>4484789.8666666662</v>
      </c>
      <c r="C16" s="559">
        <f t="shared" si="0"/>
        <v>4484789.8666666662</v>
      </c>
      <c r="D16" s="451" t="str">
        <f t="shared" si="1"/>
        <v>R</v>
      </c>
    </row>
    <row r="17" spans="1:4" x14ac:dyDescent="0.2">
      <c r="A17" t="s">
        <v>608</v>
      </c>
      <c r="B17" s="559">
        <v>4408527.166666667</v>
      </c>
      <c r="C17" s="559">
        <f t="shared" si="0"/>
        <v>4408527.166666667</v>
      </c>
      <c r="D17" s="451" t="str">
        <f t="shared" si="1"/>
        <v>R</v>
      </c>
    </row>
    <row r="18" spans="1:4" x14ac:dyDescent="0.2">
      <c r="A18" t="s">
        <v>609</v>
      </c>
      <c r="B18" s="601">
        <v>5660000</v>
      </c>
      <c r="C18" s="559">
        <f t="shared" si="0"/>
        <v>5660000</v>
      </c>
      <c r="D18" s="451" t="str">
        <f t="shared" si="1"/>
        <v>R</v>
      </c>
    </row>
    <row r="19" spans="1:4" x14ac:dyDescent="0.2">
      <c r="A19" t="s">
        <v>610</v>
      </c>
      <c r="B19" s="559">
        <v>6414072</v>
      </c>
      <c r="C19" s="559">
        <f t="shared" si="0"/>
        <v>6414072</v>
      </c>
      <c r="D19" s="451" t="str">
        <f t="shared" si="1"/>
        <v>R</v>
      </c>
    </row>
    <row r="20" spans="1:4" x14ac:dyDescent="0.2">
      <c r="A20" t="s">
        <v>611</v>
      </c>
      <c r="B20" s="559">
        <v>4666206</v>
      </c>
      <c r="C20" s="559">
        <f t="shared" si="0"/>
        <v>4666206</v>
      </c>
      <c r="D20" s="451" t="str">
        <f t="shared" si="1"/>
        <v>R</v>
      </c>
    </row>
    <row r="21" spans="1:4" ht="18" customHeight="1" x14ac:dyDescent="0.2">
      <c r="A21" t="s">
        <v>612</v>
      </c>
      <c r="B21" s="559">
        <v>2748641.7087692311</v>
      </c>
      <c r="C21" s="559">
        <f t="shared" si="0"/>
        <v>2748641.7087692311</v>
      </c>
      <c r="D21" s="451" t="str">
        <f t="shared" si="1"/>
        <v>R</v>
      </c>
    </row>
    <row r="22" spans="1:4" x14ac:dyDescent="0.2">
      <c r="A22" t="s">
        <v>613</v>
      </c>
      <c r="B22" s="559">
        <v>3812771.3971851855</v>
      </c>
      <c r="C22" s="559">
        <f t="shared" si="0"/>
        <v>3812771.3971851855</v>
      </c>
      <c r="D22" s="451" t="str">
        <f t="shared" si="1"/>
        <v>R</v>
      </c>
    </row>
    <row r="23" spans="1:4" x14ac:dyDescent="0.2">
      <c r="A23" t="s">
        <v>614</v>
      </c>
      <c r="B23" s="559">
        <v>2123109.777777778</v>
      </c>
      <c r="C23" s="559">
        <f t="shared" si="0"/>
        <v>2123109.777777778</v>
      </c>
      <c r="D23" s="451" t="str">
        <f t="shared" si="1"/>
        <v>R</v>
      </c>
    </row>
    <row r="24" spans="1:4" x14ac:dyDescent="0.2">
      <c r="A24" t="s">
        <v>615</v>
      </c>
      <c r="B24" s="559">
        <v>3678782</v>
      </c>
      <c r="C24" s="559">
        <f t="shared" si="0"/>
        <v>3678782</v>
      </c>
      <c r="D24" s="451" t="str">
        <f t="shared" si="1"/>
        <v>R</v>
      </c>
    </row>
    <row r="25" spans="1:4" x14ac:dyDescent="0.2">
      <c r="A25" t="s">
        <v>616</v>
      </c>
      <c r="B25" s="559">
        <v>3244692</v>
      </c>
      <c r="C25" s="559">
        <f t="shared" si="0"/>
        <v>3244692</v>
      </c>
      <c r="D25" s="451" t="str">
        <f t="shared" si="1"/>
        <v>R</v>
      </c>
    </row>
    <row r="26" spans="1:4" x14ac:dyDescent="0.2">
      <c r="A26" t="s">
        <v>617</v>
      </c>
      <c r="B26" s="559">
        <v>3060596</v>
      </c>
      <c r="C26" s="559">
        <f t="shared" si="0"/>
        <v>3060596</v>
      </c>
      <c r="D26" s="451" t="str">
        <f t="shared" si="1"/>
        <v>R</v>
      </c>
    </row>
    <row r="27" spans="1:4" x14ac:dyDescent="0.2">
      <c r="A27" t="s">
        <v>618</v>
      </c>
      <c r="B27" s="559">
        <v>4497800</v>
      </c>
      <c r="C27" s="559">
        <f t="shared" si="0"/>
        <v>4497800</v>
      </c>
      <c r="D27" s="451" t="str">
        <f t="shared" si="1"/>
        <v>R</v>
      </c>
    </row>
    <row r="28" spans="1:4" x14ac:dyDescent="0.2">
      <c r="A28" t="s">
        <v>619</v>
      </c>
      <c r="B28" s="559">
        <v>7211821.333333333</v>
      </c>
      <c r="C28" s="559">
        <f t="shared" si="0"/>
        <v>7211821.333333333</v>
      </c>
      <c r="D28" s="451" t="str">
        <f t="shared" si="1"/>
        <v>R</v>
      </c>
    </row>
    <row r="29" spans="1:4" x14ac:dyDescent="0.2">
      <c r="A29" t="s">
        <v>620</v>
      </c>
      <c r="B29" s="559">
        <v>3775014</v>
      </c>
      <c r="C29" s="559">
        <f t="shared" si="0"/>
        <v>3775014</v>
      </c>
      <c r="D29" s="451" t="str">
        <f t="shared" si="1"/>
        <v>R</v>
      </c>
    </row>
    <row r="30" spans="1:4" x14ac:dyDescent="0.2">
      <c r="A30" t="s">
        <v>621</v>
      </c>
      <c r="B30" s="559">
        <v>3926363.3333333335</v>
      </c>
      <c r="C30" s="559">
        <f t="shared" si="0"/>
        <v>3926363.3333333335</v>
      </c>
      <c r="D30" s="451" t="str">
        <f t="shared" si="1"/>
        <v>R</v>
      </c>
    </row>
    <row r="31" spans="1:4" x14ac:dyDescent="0.2">
      <c r="A31" t="s">
        <v>622</v>
      </c>
      <c r="B31" s="559">
        <v>4811600</v>
      </c>
      <c r="C31" s="559">
        <f t="shared" si="0"/>
        <v>4811600</v>
      </c>
      <c r="D31" s="451" t="str">
        <f t="shared" si="1"/>
        <v>R</v>
      </c>
    </row>
    <row r="32" spans="1:4" x14ac:dyDescent="0.2">
      <c r="A32" t="s">
        <v>623</v>
      </c>
      <c r="B32" s="559">
        <v>4707000</v>
      </c>
      <c r="C32" s="559">
        <f t="shared" si="0"/>
        <v>4707000</v>
      </c>
      <c r="D32" s="451" t="str">
        <f t="shared" si="1"/>
        <v>R</v>
      </c>
    </row>
    <row r="33" spans="1:4" x14ac:dyDescent="0.2">
      <c r="A33" t="s">
        <v>624</v>
      </c>
      <c r="B33" s="559">
        <v>6755068</v>
      </c>
      <c r="C33" s="559">
        <f t="shared" si="0"/>
        <v>6755068</v>
      </c>
      <c r="D33" s="451" t="str">
        <f t="shared" si="1"/>
        <v>R</v>
      </c>
    </row>
    <row r="34" spans="1:4" x14ac:dyDescent="0.2">
      <c r="A34" t="s">
        <v>625</v>
      </c>
      <c r="B34" s="559">
        <v>2285986</v>
      </c>
      <c r="C34" s="559">
        <f t="shared" si="0"/>
        <v>2285986</v>
      </c>
      <c r="D34" s="451" t="str">
        <f t="shared" si="1"/>
        <v>R</v>
      </c>
    </row>
    <row r="35" spans="1:4" x14ac:dyDescent="0.2">
      <c r="A35" t="s">
        <v>626</v>
      </c>
      <c r="B35" s="559">
        <v>3808229.5228421055</v>
      </c>
      <c r="C35" s="559">
        <f t="shared" si="0"/>
        <v>3808229.5228421055</v>
      </c>
      <c r="D35" s="451" t="str">
        <f t="shared" si="1"/>
        <v>R</v>
      </c>
    </row>
    <row r="36" spans="1:4" x14ac:dyDescent="0.2">
      <c r="A36" t="s">
        <v>627</v>
      </c>
      <c r="B36" s="559">
        <v>1934122</v>
      </c>
      <c r="C36" s="559">
        <f t="shared" si="0"/>
        <v>1934122</v>
      </c>
      <c r="D36" s="451" t="str">
        <f t="shared" si="1"/>
        <v>R</v>
      </c>
    </row>
    <row r="37" spans="1:4" x14ac:dyDescent="0.2">
      <c r="A37" t="s">
        <v>628</v>
      </c>
      <c r="B37" s="559">
        <v>3252952.4444444445</v>
      </c>
      <c r="C37" s="559">
        <f t="shared" si="0"/>
        <v>3252952.4444444445</v>
      </c>
      <c r="D37" s="451" t="str">
        <f t="shared" si="1"/>
        <v>R</v>
      </c>
    </row>
  </sheetData>
  <conditionalFormatting sqref="D23:D37 D2:D21">
    <cfRule type="cellIs" dxfId="3" priority="5" operator="equal">
      <formula>"R"</formula>
    </cfRule>
    <cfRule type="cellIs" dxfId="2" priority="6" operator="equal">
      <formula>"Q"</formula>
    </cfRule>
  </conditionalFormatting>
  <conditionalFormatting sqref="D22">
    <cfRule type="cellIs" dxfId="1" priority="3" operator="equal">
      <formula>"R"</formula>
    </cfRule>
    <cfRule type="cellIs" dxfId="0" priority="4" operator="equal">
      <formula>"Q"</formula>
    </cfRule>
  </conditionalFormatting>
  <pageMargins left="0.75" right="0.75" top="1" bottom="1" header="0" footer="0"/>
  <pageSetup scale="70"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zoomScale="85" zoomScaleNormal="85" workbookViewId="0">
      <selection activeCell="C1" sqref="C1:F61"/>
    </sheetView>
  </sheetViews>
  <sheetFormatPr baseColWidth="10" defaultRowHeight="12.75" x14ac:dyDescent="0.2"/>
  <cols>
    <col min="1" max="1" width="83.140625" customWidth="1"/>
  </cols>
  <sheetData>
    <row r="1" spans="1:1" ht="15.75" x14ac:dyDescent="0.2">
      <c r="A1" s="695" t="s">
        <v>731</v>
      </c>
    </row>
    <row r="2" spans="1:1" ht="15.75" x14ac:dyDescent="0.2">
      <c r="A2" s="695" t="s">
        <v>732</v>
      </c>
    </row>
    <row r="3" spans="1:1" ht="15.75" x14ac:dyDescent="0.2">
      <c r="A3" s="695" t="s">
        <v>733</v>
      </c>
    </row>
    <row r="4" spans="1:1" ht="15.75" x14ac:dyDescent="0.2">
      <c r="A4" s="695" t="s">
        <v>734</v>
      </c>
    </row>
    <row r="5" spans="1:1" ht="15.75" x14ac:dyDescent="0.2">
      <c r="A5" s="695" t="s">
        <v>735</v>
      </c>
    </row>
    <row r="6" spans="1:1" ht="15.75" x14ac:dyDescent="0.2">
      <c r="A6" s="695" t="s">
        <v>736</v>
      </c>
    </row>
    <row r="7" spans="1:1" ht="15.75" x14ac:dyDescent="0.2">
      <c r="A7" s="695" t="s">
        <v>737</v>
      </c>
    </row>
    <row r="8" spans="1:1" ht="15.75" x14ac:dyDescent="0.2">
      <c r="A8" s="695" t="s">
        <v>738</v>
      </c>
    </row>
    <row r="9" spans="1:1" ht="31.5" x14ac:dyDescent="0.2">
      <c r="A9" s="695" t="s">
        <v>739</v>
      </c>
    </row>
    <row r="10" spans="1:1" ht="15.75" x14ac:dyDescent="0.2">
      <c r="A10" s="695" t="s">
        <v>740</v>
      </c>
    </row>
    <row r="11" spans="1:1" ht="15.75" x14ac:dyDescent="0.2">
      <c r="A11" s="695" t="s">
        <v>741</v>
      </c>
    </row>
    <row r="12" spans="1:1" ht="15.75" x14ac:dyDescent="0.2">
      <c r="A12" s="695" t="s">
        <v>742</v>
      </c>
    </row>
    <row r="14" spans="1:1" ht="15.75" x14ac:dyDescent="0.2">
      <c r="A14" s="695" t="s">
        <v>743</v>
      </c>
    </row>
    <row r="15" spans="1:1" ht="15.75" x14ac:dyDescent="0.2">
      <c r="A15" s="695" t="s">
        <v>744</v>
      </c>
    </row>
    <row r="16" spans="1:1" ht="15.75" x14ac:dyDescent="0.2">
      <c r="A16" s="695" t="s">
        <v>745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B1:W47"/>
  <sheetViews>
    <sheetView workbookViewId="0">
      <selection sqref="A1:W47"/>
    </sheetView>
  </sheetViews>
  <sheetFormatPr baseColWidth="10" defaultRowHeight="12.75" x14ac:dyDescent="0.2"/>
  <cols>
    <col min="1" max="1" width="11.42578125" style="185"/>
    <col min="2" max="2" width="7.5703125" style="185" bestFit="1" customWidth="1"/>
    <col min="3" max="3" width="10" style="185" customWidth="1"/>
    <col min="4" max="4" width="10.140625" style="185" bestFit="1" customWidth="1"/>
    <col min="5" max="5" width="8.85546875" style="185" customWidth="1"/>
    <col min="6" max="6" width="8" style="185" customWidth="1"/>
    <col min="7" max="7" width="18.7109375" style="185" bestFit="1" customWidth="1"/>
    <col min="8" max="8" width="6.85546875" style="185" customWidth="1"/>
    <col min="9" max="9" width="6.140625" style="185" customWidth="1"/>
    <col min="10" max="10" width="5.7109375" style="185" bestFit="1" customWidth="1"/>
    <col min="11" max="11" width="5" style="185" customWidth="1"/>
    <col min="12" max="12" width="5.7109375" style="185" bestFit="1" customWidth="1"/>
    <col min="13" max="13" width="4.85546875" style="185" bestFit="1" customWidth="1"/>
    <col min="14" max="14" width="6.5703125" style="185" bestFit="1" customWidth="1"/>
    <col min="15" max="15" width="4.85546875" style="185" bestFit="1" customWidth="1"/>
    <col min="16" max="16" width="8" style="185" bestFit="1" customWidth="1"/>
    <col min="17" max="17" width="6.7109375" style="185" customWidth="1"/>
    <col min="18" max="18" width="5.7109375" style="185" bestFit="1" customWidth="1"/>
    <col min="19" max="19" width="5.5703125" style="185" bestFit="1" customWidth="1"/>
    <col min="20" max="20" width="8.28515625" style="185" bestFit="1" customWidth="1"/>
    <col min="21" max="22" width="11.42578125" style="185"/>
    <col min="23" max="23" width="18.42578125" style="185" bestFit="1" customWidth="1"/>
    <col min="24" max="16384" width="11.42578125" style="185"/>
  </cols>
  <sheetData>
    <row r="1" spans="2:23" ht="13.5" thickBot="1" x14ac:dyDescent="0.25"/>
    <row r="2" spans="2:23" ht="13.5" thickBot="1" x14ac:dyDescent="0.25">
      <c r="E2" s="288"/>
      <c r="G2" s="908" t="s">
        <v>325</v>
      </c>
      <c r="H2" s="909"/>
      <c r="I2" s="890" t="s">
        <v>324</v>
      </c>
      <c r="J2" s="892"/>
      <c r="K2" s="892"/>
      <c r="L2" s="891"/>
      <c r="M2" s="908" t="s">
        <v>323</v>
      </c>
      <c r="N2" s="910"/>
      <c r="O2" s="910"/>
      <c r="P2" s="910"/>
      <c r="Q2" s="910"/>
      <c r="R2" s="910"/>
      <c r="S2" s="890" t="s">
        <v>322</v>
      </c>
      <c r="T2" s="892"/>
    </row>
    <row r="3" spans="2:23" ht="13.5" thickBot="1" x14ac:dyDescent="0.25">
      <c r="B3" s="287"/>
      <c r="C3" s="287"/>
      <c r="D3" s="286" t="s">
        <v>168</v>
      </c>
      <c r="E3" s="285">
        <v>29259.39</v>
      </c>
      <c r="F3" s="284"/>
      <c r="G3" s="911">
        <v>1</v>
      </c>
      <c r="H3" s="912"/>
      <c r="I3" s="913">
        <v>1</v>
      </c>
      <c r="J3" s="914"/>
      <c r="K3" s="913">
        <v>2</v>
      </c>
      <c r="L3" s="914"/>
      <c r="M3" s="913">
        <v>1</v>
      </c>
      <c r="N3" s="915"/>
      <c r="O3" s="913">
        <v>2</v>
      </c>
      <c r="P3" s="915"/>
      <c r="Q3" s="913">
        <v>3</v>
      </c>
      <c r="R3" s="916"/>
      <c r="S3" s="913">
        <v>1</v>
      </c>
      <c r="T3" s="916"/>
      <c r="W3" s="281"/>
    </row>
    <row r="4" spans="2:23" ht="14.25" x14ac:dyDescent="0.3">
      <c r="B4" s="280" t="s">
        <v>319</v>
      </c>
      <c r="C4" s="279">
        <v>0.11</v>
      </c>
      <c r="D4" s="278" t="s">
        <v>337</v>
      </c>
      <c r="E4" s="277">
        <f>E3*C4</f>
        <v>3218.5329000000002</v>
      </c>
      <c r="F4" s="276">
        <f>E4</f>
        <v>3218.5329000000002</v>
      </c>
      <c r="G4" s="274">
        <v>0.8</v>
      </c>
      <c r="H4" s="275">
        <f>F4*G4</f>
        <v>2574.8263200000001</v>
      </c>
      <c r="I4" s="274">
        <v>0.15</v>
      </c>
      <c r="J4" s="273">
        <f>F4*I4</f>
        <v>482.77993500000002</v>
      </c>
      <c r="K4" s="274">
        <v>0.05</v>
      </c>
      <c r="L4" s="273">
        <f>F4*K4</f>
        <v>160.92664500000001</v>
      </c>
      <c r="M4" s="274"/>
      <c r="N4" s="273"/>
      <c r="O4" s="274"/>
      <c r="P4" s="273"/>
      <c r="Q4" s="274"/>
      <c r="R4" s="273"/>
      <c r="S4" s="274"/>
      <c r="T4" s="273"/>
      <c r="U4" s="194">
        <f>G4+I4+K4</f>
        <v>1</v>
      </c>
    </row>
    <row r="5" spans="2:23" ht="14.25" x14ac:dyDescent="0.3">
      <c r="B5" s="904" t="s">
        <v>336</v>
      </c>
      <c r="C5" s="271">
        <v>0.05</v>
      </c>
      <c r="D5" s="270" t="s">
        <v>203</v>
      </c>
      <c r="E5" s="269">
        <f>E3*C5</f>
        <v>1462.9695000000002</v>
      </c>
      <c r="F5" s="918">
        <f>SUM(E5:E6)</f>
        <v>3218.5329000000002</v>
      </c>
      <c r="G5" s="919">
        <v>0.35</v>
      </c>
      <c r="H5" s="922">
        <f>F5*G5</f>
        <v>1126.4865150000001</v>
      </c>
      <c r="I5" s="919">
        <v>0.2</v>
      </c>
      <c r="J5" s="922">
        <f>F5*I5</f>
        <v>643.70658000000003</v>
      </c>
      <c r="K5" s="919">
        <v>0.23</v>
      </c>
      <c r="L5" s="922">
        <f>F5*K5</f>
        <v>740.2625670000001</v>
      </c>
      <c r="M5" s="919">
        <v>0.22</v>
      </c>
      <c r="N5" s="922">
        <f>F5*M5</f>
        <v>708.07723800000008</v>
      </c>
      <c r="O5" s="919">
        <v>0</v>
      </c>
      <c r="P5" s="922">
        <f>F5*O5</f>
        <v>0</v>
      </c>
      <c r="Q5" s="919"/>
      <c r="R5" s="922">
        <f>F5*Q5</f>
        <v>0</v>
      </c>
      <c r="S5" s="917"/>
      <c r="T5" s="905">
        <f>F5*S5</f>
        <v>0</v>
      </c>
      <c r="U5" s="194">
        <f>G5+I5+K5+M5+O5</f>
        <v>1</v>
      </c>
    </row>
    <row r="6" spans="2:23" ht="14.25" x14ac:dyDescent="0.3">
      <c r="B6" s="904"/>
      <c r="C6" s="271">
        <v>0.06</v>
      </c>
      <c r="D6" s="270" t="s">
        <v>204</v>
      </c>
      <c r="E6" s="269">
        <f>E3*C6</f>
        <v>1755.5634</v>
      </c>
      <c r="F6" s="918"/>
      <c r="G6" s="921"/>
      <c r="H6" s="924"/>
      <c r="I6" s="921"/>
      <c r="J6" s="924"/>
      <c r="K6" s="921"/>
      <c r="L6" s="924"/>
      <c r="M6" s="921"/>
      <c r="N6" s="924"/>
      <c r="O6" s="921"/>
      <c r="P6" s="924"/>
      <c r="Q6" s="921"/>
      <c r="R6" s="924"/>
      <c r="S6" s="917"/>
      <c r="T6" s="905"/>
      <c r="U6" s="194"/>
    </row>
    <row r="7" spans="2:23" ht="14.25" x14ac:dyDescent="0.3">
      <c r="B7" s="904" t="s">
        <v>335</v>
      </c>
      <c r="C7" s="271">
        <v>0.24</v>
      </c>
      <c r="D7" s="270" t="s">
        <v>334</v>
      </c>
      <c r="E7" s="269">
        <f>E3*C7</f>
        <v>7022.2536</v>
      </c>
      <c r="F7" s="918">
        <f>SUM(E7:E11)</f>
        <v>13751.9133</v>
      </c>
      <c r="G7" s="919">
        <v>0</v>
      </c>
      <c r="H7" s="922">
        <f>F7*G7</f>
        <v>0</v>
      </c>
      <c r="I7" s="919">
        <v>0.1</v>
      </c>
      <c r="J7" s="922">
        <f>F7*I7</f>
        <v>1375.1913300000001</v>
      </c>
      <c r="K7" s="919">
        <v>0.12</v>
      </c>
      <c r="L7" s="922">
        <f>F7*K7</f>
        <v>1650.2295959999999</v>
      </c>
      <c r="M7" s="919">
        <v>0.26</v>
      </c>
      <c r="N7" s="922">
        <f>F7*M7</f>
        <v>3575.4974580000003</v>
      </c>
      <c r="O7" s="919">
        <v>0.26</v>
      </c>
      <c r="P7" s="922">
        <f>F7*O7</f>
        <v>3575.4974580000003</v>
      </c>
      <c r="Q7" s="919">
        <v>0.26</v>
      </c>
      <c r="R7" s="922">
        <f>F7*Q7</f>
        <v>3575.4974580000003</v>
      </c>
      <c r="S7" s="917"/>
      <c r="T7" s="905">
        <f>F7*S7</f>
        <v>0</v>
      </c>
      <c r="U7" s="194">
        <f>G7+I7+K7+M7+O7+Q7</f>
        <v>1</v>
      </c>
    </row>
    <row r="8" spans="2:23" ht="14.25" x14ac:dyDescent="0.3">
      <c r="B8" s="904"/>
      <c r="C8" s="271">
        <v>0.08</v>
      </c>
      <c r="D8" s="270" t="s">
        <v>333</v>
      </c>
      <c r="E8" s="269">
        <f>E3*C8</f>
        <v>2340.7512000000002</v>
      </c>
      <c r="F8" s="918"/>
      <c r="G8" s="920"/>
      <c r="H8" s="923"/>
      <c r="I8" s="920"/>
      <c r="J8" s="923"/>
      <c r="K8" s="920"/>
      <c r="L8" s="923"/>
      <c r="M8" s="920"/>
      <c r="N8" s="923"/>
      <c r="O8" s="920"/>
      <c r="P8" s="923"/>
      <c r="Q8" s="920"/>
      <c r="R8" s="923"/>
      <c r="S8" s="917"/>
      <c r="T8" s="905"/>
      <c r="U8" s="194"/>
    </row>
    <row r="9" spans="2:23" ht="14.25" x14ac:dyDescent="0.3">
      <c r="B9" s="904"/>
      <c r="C9" s="271">
        <v>0.02</v>
      </c>
      <c r="D9" s="270" t="s">
        <v>332</v>
      </c>
      <c r="E9" s="269">
        <f>E3*C9</f>
        <v>585.18780000000004</v>
      </c>
      <c r="F9" s="918"/>
      <c r="G9" s="920"/>
      <c r="H9" s="923"/>
      <c r="I9" s="920"/>
      <c r="J9" s="923"/>
      <c r="K9" s="920"/>
      <c r="L9" s="923"/>
      <c r="M9" s="920"/>
      <c r="N9" s="923"/>
      <c r="O9" s="920"/>
      <c r="P9" s="923"/>
      <c r="Q9" s="920"/>
      <c r="R9" s="923"/>
      <c r="S9" s="917"/>
      <c r="T9" s="905"/>
      <c r="U9" s="194"/>
    </row>
    <row r="10" spans="2:23" ht="14.25" x14ac:dyDescent="0.3">
      <c r="B10" s="904"/>
      <c r="C10" s="271">
        <v>0.1</v>
      </c>
      <c r="D10" s="270" t="s">
        <v>331</v>
      </c>
      <c r="E10" s="269">
        <f>E3*C10</f>
        <v>2925.9390000000003</v>
      </c>
      <c r="F10" s="918"/>
      <c r="G10" s="920"/>
      <c r="H10" s="923"/>
      <c r="I10" s="920"/>
      <c r="J10" s="923"/>
      <c r="K10" s="920"/>
      <c r="L10" s="923"/>
      <c r="M10" s="920"/>
      <c r="N10" s="923"/>
      <c r="O10" s="920"/>
      <c r="P10" s="923"/>
      <c r="Q10" s="920"/>
      <c r="R10" s="923"/>
      <c r="S10" s="917"/>
      <c r="T10" s="905"/>
      <c r="U10" s="194"/>
    </row>
    <row r="11" spans="2:23" ht="14.25" x14ac:dyDescent="0.3">
      <c r="B11" s="904"/>
      <c r="C11" s="271">
        <v>0.03</v>
      </c>
      <c r="D11" s="270" t="s">
        <v>330</v>
      </c>
      <c r="E11" s="269">
        <f>E3*C11</f>
        <v>877.7817</v>
      </c>
      <c r="F11" s="918"/>
      <c r="G11" s="921"/>
      <c r="H11" s="924"/>
      <c r="I11" s="921"/>
      <c r="J11" s="924"/>
      <c r="K11" s="921"/>
      <c r="L11" s="924"/>
      <c r="M11" s="921"/>
      <c r="N11" s="924"/>
      <c r="O11" s="921"/>
      <c r="P11" s="924"/>
      <c r="Q11" s="921"/>
      <c r="R11" s="924"/>
      <c r="S11" s="917"/>
      <c r="T11" s="905"/>
      <c r="U11" s="194"/>
    </row>
    <row r="12" spans="2:23" ht="14.25" x14ac:dyDescent="0.3">
      <c r="B12" s="904" t="s">
        <v>205</v>
      </c>
      <c r="C12" s="272">
        <v>0.12</v>
      </c>
      <c r="D12" s="270" t="s">
        <v>329</v>
      </c>
      <c r="E12" s="269">
        <f>E3*C12</f>
        <v>3511.1268</v>
      </c>
      <c r="F12" s="918">
        <f>SUM(E12:E14)</f>
        <v>9070.4109000000008</v>
      </c>
      <c r="G12" s="919">
        <v>0</v>
      </c>
      <c r="H12" s="922">
        <f>F12*G12</f>
        <v>0</v>
      </c>
      <c r="I12" s="919">
        <v>0.05</v>
      </c>
      <c r="J12" s="922">
        <f>F12*I12</f>
        <v>453.52054500000008</v>
      </c>
      <c r="K12" s="919">
        <v>0.1</v>
      </c>
      <c r="L12" s="922">
        <f>F12*K12</f>
        <v>907.04109000000017</v>
      </c>
      <c r="M12" s="919">
        <v>0.2</v>
      </c>
      <c r="N12" s="922">
        <f>F12*M12</f>
        <v>1814.0821800000003</v>
      </c>
      <c r="O12" s="919">
        <v>0.2</v>
      </c>
      <c r="P12" s="922">
        <f>F12*O12</f>
        <v>1814.0821800000003</v>
      </c>
      <c r="Q12" s="919">
        <v>0.2</v>
      </c>
      <c r="R12" s="922">
        <f>F12*Q12</f>
        <v>1814.0821800000003</v>
      </c>
      <c r="S12" s="917">
        <v>0.25</v>
      </c>
      <c r="T12" s="905">
        <f>F12*S12</f>
        <v>2267.6027250000002</v>
      </c>
      <c r="U12" s="194">
        <f>I12+K12+M12+O12+Q12+S12</f>
        <v>1</v>
      </c>
    </row>
    <row r="13" spans="2:23" ht="14.25" x14ac:dyDescent="0.3">
      <c r="B13" s="904"/>
      <c r="C13" s="271">
        <v>0.14000000000000001</v>
      </c>
      <c r="D13" s="270" t="s">
        <v>328</v>
      </c>
      <c r="E13" s="269">
        <f>E3*C13</f>
        <v>4096.3146000000006</v>
      </c>
      <c r="F13" s="918"/>
      <c r="G13" s="920"/>
      <c r="H13" s="923"/>
      <c r="I13" s="920"/>
      <c r="J13" s="923"/>
      <c r="K13" s="920"/>
      <c r="L13" s="923"/>
      <c r="M13" s="920"/>
      <c r="N13" s="923"/>
      <c r="O13" s="920"/>
      <c r="P13" s="923"/>
      <c r="Q13" s="920"/>
      <c r="R13" s="923"/>
      <c r="S13" s="917"/>
      <c r="T13" s="905"/>
      <c r="U13" s="194"/>
    </row>
    <row r="14" spans="2:23" ht="15" thickBot="1" x14ac:dyDescent="0.35">
      <c r="B14" s="906"/>
      <c r="C14" s="268">
        <v>0.05</v>
      </c>
      <c r="D14" s="267" t="s">
        <v>327</v>
      </c>
      <c r="E14" s="266">
        <f>E3*C14</f>
        <v>1462.9695000000002</v>
      </c>
      <c r="F14" s="963"/>
      <c r="G14" s="964"/>
      <c r="H14" s="965"/>
      <c r="I14" s="964"/>
      <c r="J14" s="965"/>
      <c r="K14" s="964"/>
      <c r="L14" s="965"/>
      <c r="M14" s="964"/>
      <c r="N14" s="965"/>
      <c r="O14" s="964"/>
      <c r="P14" s="965"/>
      <c r="Q14" s="964"/>
      <c r="R14" s="965"/>
      <c r="S14" s="962"/>
      <c r="T14" s="907"/>
      <c r="U14" s="194"/>
    </row>
    <row r="15" spans="2:23" ht="13.5" thickBot="1" x14ac:dyDescent="0.25">
      <c r="B15" s="231"/>
      <c r="C15" s="231"/>
      <c r="D15" s="231"/>
      <c r="E15" s="231"/>
      <c r="F15" s="231"/>
      <c r="G15" s="231"/>
      <c r="H15" s="231"/>
      <c r="I15" s="265"/>
      <c r="J15" s="231"/>
      <c r="K15" s="265"/>
      <c r="L15" s="231"/>
      <c r="M15" s="265"/>
      <c r="N15" s="231"/>
      <c r="O15" s="265"/>
      <c r="P15" s="231"/>
      <c r="Q15" s="265"/>
      <c r="R15" s="231"/>
      <c r="S15" s="265"/>
      <c r="T15" s="231"/>
    </row>
    <row r="16" spans="2:23" ht="13.5" thickBot="1" x14ac:dyDescent="0.25">
      <c r="B16" s="231"/>
      <c r="C16" s="231"/>
      <c r="D16" s="231"/>
      <c r="E16" s="888" t="s">
        <v>326</v>
      </c>
      <c r="F16" s="889"/>
      <c r="G16" s="890" t="s">
        <v>325</v>
      </c>
      <c r="H16" s="891"/>
      <c r="I16" s="890" t="s">
        <v>324</v>
      </c>
      <c r="J16" s="892"/>
      <c r="K16" s="892"/>
      <c r="L16" s="891"/>
      <c r="M16" s="890" t="s">
        <v>323</v>
      </c>
      <c r="N16" s="892"/>
      <c r="O16" s="892"/>
      <c r="P16" s="892"/>
      <c r="Q16" s="892"/>
      <c r="R16" s="891"/>
      <c r="S16" s="890" t="s">
        <v>322</v>
      </c>
      <c r="T16" s="892"/>
    </row>
    <row r="17" spans="2:23" ht="13.5" thickBot="1" x14ac:dyDescent="0.25">
      <c r="B17" s="231"/>
      <c r="C17" s="231"/>
      <c r="D17" s="231"/>
      <c r="E17" s="954" t="s">
        <v>321</v>
      </c>
      <c r="F17" s="955"/>
      <c r="G17" s="890">
        <v>1</v>
      </c>
      <c r="H17" s="891"/>
      <c r="I17" s="956">
        <v>1</v>
      </c>
      <c r="J17" s="957"/>
      <c r="K17" s="956">
        <v>2</v>
      </c>
      <c r="L17" s="957"/>
      <c r="M17" s="956">
        <v>1</v>
      </c>
      <c r="N17" s="958"/>
      <c r="O17" s="959">
        <v>2</v>
      </c>
      <c r="P17" s="958"/>
      <c r="Q17" s="959">
        <v>3</v>
      </c>
      <c r="R17" s="957"/>
      <c r="S17" s="960">
        <v>1</v>
      </c>
      <c r="T17" s="961"/>
      <c r="W17" s="189"/>
    </row>
    <row r="18" spans="2:23" ht="12.75" customHeight="1" x14ac:dyDescent="0.2">
      <c r="B18" s="231"/>
      <c r="C18" s="231"/>
      <c r="D18" s="877" t="s">
        <v>320</v>
      </c>
      <c r="E18" s="880" t="s">
        <v>319</v>
      </c>
      <c r="F18" s="881"/>
      <c r="G18" s="264">
        <v>5.9</v>
      </c>
      <c r="H18" s="263">
        <f>H4/G18/E29</f>
        <v>54.55140508474576</v>
      </c>
      <c r="I18" s="262">
        <v>1.25</v>
      </c>
      <c r="J18" s="261">
        <f>J4/I18/E29</f>
        <v>48.277993500000001</v>
      </c>
      <c r="K18" s="262">
        <v>0.4</v>
      </c>
      <c r="L18" s="261">
        <f>L4/K18/E29</f>
        <v>50.289576562500002</v>
      </c>
      <c r="M18" s="259"/>
      <c r="N18" s="258"/>
      <c r="O18" s="260"/>
      <c r="P18" s="258"/>
      <c r="Q18" s="260"/>
      <c r="R18" s="258"/>
      <c r="S18" s="259"/>
      <c r="T18" s="258"/>
    </row>
    <row r="19" spans="2:23" x14ac:dyDescent="0.2">
      <c r="B19" s="231"/>
      <c r="C19" s="231"/>
      <c r="D19" s="878"/>
      <c r="E19" s="882" t="s">
        <v>318</v>
      </c>
      <c r="F19" s="883"/>
      <c r="G19" s="255">
        <v>2.5499999999999998</v>
      </c>
      <c r="H19" s="257">
        <f>H5/G19/E29</f>
        <v>55.219927205882357</v>
      </c>
      <c r="I19" s="248">
        <v>1.65</v>
      </c>
      <c r="J19" s="256">
        <f>J5/I19/E29</f>
        <v>48.765650000000008</v>
      </c>
      <c r="K19" s="248">
        <v>1.8</v>
      </c>
      <c r="L19" s="256">
        <f>L5/K19/E29</f>
        <v>51.40712270833334</v>
      </c>
      <c r="M19" s="252">
        <v>1.2</v>
      </c>
      <c r="N19" s="256">
        <f>N5/M19/E29</f>
        <v>73.758045625000008</v>
      </c>
      <c r="O19" s="253"/>
      <c r="P19" s="256"/>
      <c r="Q19" s="253"/>
      <c r="R19" s="256"/>
      <c r="S19" s="252"/>
      <c r="T19" s="256"/>
    </row>
    <row r="20" spans="2:23" x14ac:dyDescent="0.2">
      <c r="B20" s="231"/>
      <c r="C20" s="231"/>
      <c r="D20" s="878"/>
      <c r="E20" s="884" t="s">
        <v>317</v>
      </c>
      <c r="F20" s="885"/>
      <c r="G20" s="255">
        <v>0</v>
      </c>
      <c r="H20" s="254"/>
      <c r="I20" s="248">
        <v>3.45</v>
      </c>
      <c r="J20" s="251">
        <f>J7/I20/E29</f>
        <v>49.825772826086961</v>
      </c>
      <c r="K20" s="248">
        <v>4</v>
      </c>
      <c r="L20" s="251">
        <f>L7/K20/E29</f>
        <v>51.569674874999997</v>
      </c>
      <c r="M20" s="252">
        <v>6</v>
      </c>
      <c r="N20" s="251">
        <f>N7/M20/E29</f>
        <v>74.489530375000001</v>
      </c>
      <c r="O20" s="253">
        <v>6</v>
      </c>
      <c r="P20" s="251">
        <f>P7/O20/E29</f>
        <v>74.489530375000001</v>
      </c>
      <c r="Q20" s="253">
        <v>6</v>
      </c>
      <c r="R20" s="251">
        <f>R7/Q20/E29</f>
        <v>74.489530375000001</v>
      </c>
      <c r="S20" s="252"/>
      <c r="T20" s="251"/>
    </row>
    <row r="21" spans="2:23" ht="13.5" thickBot="1" x14ac:dyDescent="0.25">
      <c r="B21" s="231"/>
      <c r="C21" s="231"/>
      <c r="D21" s="879"/>
      <c r="E21" s="886" t="s">
        <v>205</v>
      </c>
      <c r="F21" s="887"/>
      <c r="G21" s="250">
        <v>0</v>
      </c>
      <c r="H21" s="249"/>
      <c r="I21" s="248">
        <v>1.2</v>
      </c>
      <c r="J21" s="245">
        <f>J12/I21/(E29)</f>
        <v>47.241723437500013</v>
      </c>
      <c r="K21" s="248">
        <v>2.2999999999999998</v>
      </c>
      <c r="L21" s="245">
        <f>L12/K21/(E29)</f>
        <v>49.295711413043492</v>
      </c>
      <c r="M21" s="246">
        <v>3</v>
      </c>
      <c r="N21" s="245">
        <f>N12/M21/(E29)</f>
        <v>75.586757500000019</v>
      </c>
      <c r="O21" s="247">
        <v>3</v>
      </c>
      <c r="P21" s="245">
        <f>P12/O21/(E29)</f>
        <v>75.586757500000019</v>
      </c>
      <c r="Q21" s="247">
        <v>3</v>
      </c>
      <c r="R21" s="245">
        <f>R12/Q21/(E29)</f>
        <v>75.586757500000019</v>
      </c>
      <c r="S21" s="246">
        <v>5</v>
      </c>
      <c r="T21" s="245">
        <f>T12/S21/(E29)</f>
        <v>56.690068125000003</v>
      </c>
      <c r="W21" s="244"/>
    </row>
    <row r="22" spans="2:23" ht="13.5" thickBot="1" x14ac:dyDescent="0.25">
      <c r="B22" s="231"/>
      <c r="C22" s="231"/>
      <c r="D22" s="231"/>
      <c r="E22" s="950" t="s">
        <v>316</v>
      </c>
      <c r="F22" s="951"/>
      <c r="G22" s="239">
        <f>SUM(G18:G21)</f>
        <v>8.4499999999999993</v>
      </c>
      <c r="H22" s="232"/>
      <c r="I22" s="237">
        <f>SUM(I18:I21)</f>
        <v>7.55</v>
      </c>
      <c r="J22" s="234"/>
      <c r="K22" s="237">
        <f>SUM(K18:K21)</f>
        <v>8.5</v>
      </c>
      <c r="L22" s="234"/>
      <c r="M22" s="235">
        <f>SUM(M18:M21)</f>
        <v>10.199999999999999</v>
      </c>
      <c r="N22" s="234"/>
      <c r="O22" s="235">
        <f>SUM(O18:O21)</f>
        <v>9</v>
      </c>
      <c r="P22" s="234"/>
      <c r="Q22" s="235">
        <f>SUM(Q18:Q21)</f>
        <v>9</v>
      </c>
      <c r="R22" s="234"/>
      <c r="S22" s="235">
        <f>SUM(S18:S21)</f>
        <v>5</v>
      </c>
      <c r="T22" s="234"/>
    </row>
    <row r="23" spans="2:23" ht="13.5" thickBot="1" x14ac:dyDescent="0.25">
      <c r="B23" s="231"/>
      <c r="C23" s="231"/>
      <c r="D23" s="231"/>
      <c r="E23" s="241" t="s">
        <v>315</v>
      </c>
      <c r="F23" s="240"/>
      <c r="G23" s="239"/>
      <c r="H23" s="238">
        <f>MAX(H18:H21)/5</f>
        <v>11.043985441176471</v>
      </c>
      <c r="I23" s="237"/>
      <c r="J23" s="236">
        <f>(MAX(J18:J21)/5)</f>
        <v>9.965154565217393</v>
      </c>
      <c r="K23" s="237"/>
      <c r="L23" s="236">
        <f>(MAX(L18:L21)/5)</f>
        <v>10.313934974999999</v>
      </c>
      <c r="M23" s="235"/>
      <c r="N23" s="236">
        <f>(MAX(N18:N21)/5)</f>
        <v>15.117351500000003</v>
      </c>
      <c r="O23" s="235"/>
      <c r="P23" s="236">
        <f>MAX(P18:P21)/5</f>
        <v>15.117351500000003</v>
      </c>
      <c r="Q23" s="235"/>
      <c r="R23" s="236">
        <f>MAX(R18:R21)/5</f>
        <v>15.117351500000003</v>
      </c>
      <c r="S23" s="235"/>
      <c r="T23" s="234">
        <f>MAX(T18:T21)/5</f>
        <v>11.338013625</v>
      </c>
    </row>
    <row r="24" spans="2:23" ht="13.5" thickBot="1" x14ac:dyDescent="0.25">
      <c r="B24" s="231"/>
      <c r="C24" s="231"/>
      <c r="D24" s="231"/>
      <c r="E24" s="952" t="s">
        <v>314</v>
      </c>
      <c r="F24" s="953"/>
      <c r="G24" s="233"/>
      <c r="H24" s="232">
        <f>MAX(H18:H21)</f>
        <v>55.219927205882357</v>
      </c>
      <c r="I24" s="233"/>
      <c r="J24" s="232">
        <f>MAX(J18:J21)</f>
        <v>49.825772826086961</v>
      </c>
      <c r="K24" s="233"/>
      <c r="L24" s="232">
        <f>MAX(L18:L21)</f>
        <v>51.569674874999997</v>
      </c>
      <c r="M24" s="233"/>
      <c r="N24" s="232">
        <f>MAX(N18:N21)</f>
        <v>75.586757500000019</v>
      </c>
      <c r="O24" s="233"/>
      <c r="P24" s="232">
        <f>MAX(P18:P21)</f>
        <v>75.586757500000019</v>
      </c>
      <c r="Q24" s="233"/>
      <c r="R24" s="232">
        <f>MAX(R18:R21)</f>
        <v>75.586757500000019</v>
      </c>
      <c r="S24" s="233"/>
      <c r="T24" s="232">
        <f>MAX(T18:T21)</f>
        <v>56.690068125000003</v>
      </c>
    </row>
    <row r="25" spans="2:23" ht="13.5" thickBot="1" x14ac:dyDescent="0.25">
      <c r="B25" s="231"/>
      <c r="C25" s="231"/>
      <c r="D25" s="231"/>
      <c r="E25" s="230" t="s">
        <v>287</v>
      </c>
      <c r="F25" s="229"/>
      <c r="G25" s="937">
        <f>SUM(G24:H24)</f>
        <v>55.219927205882357</v>
      </c>
      <c r="H25" s="938"/>
      <c r="I25" s="939">
        <f>SUM(I24:L24)</f>
        <v>101.39544770108697</v>
      </c>
      <c r="J25" s="940"/>
      <c r="K25" s="940"/>
      <c r="L25" s="941"/>
      <c r="M25" s="937">
        <f>SUM(M24:R24)</f>
        <v>226.76027250000004</v>
      </c>
      <c r="N25" s="942"/>
      <c r="O25" s="942"/>
      <c r="P25" s="942"/>
      <c r="Q25" s="942"/>
      <c r="R25" s="942"/>
      <c r="S25" s="937">
        <f>SUM(S24:T24)</f>
        <v>56.690068125000003</v>
      </c>
      <c r="T25" s="942"/>
      <c r="U25" s="228">
        <f>SUM(G25:T25)</f>
        <v>440.06571553196937</v>
      </c>
    </row>
    <row r="26" spans="2:23" ht="13.5" thickBot="1" x14ac:dyDescent="0.25">
      <c r="E26" s="227" t="s">
        <v>273</v>
      </c>
      <c r="F26" s="226"/>
      <c r="G26" s="943">
        <f>G25/20</f>
        <v>2.7609963602941177</v>
      </c>
      <c r="H26" s="944"/>
      <c r="I26" s="945">
        <f>I25/20</f>
        <v>5.0697723850543479</v>
      </c>
      <c r="J26" s="946"/>
      <c r="K26" s="946"/>
      <c r="L26" s="947"/>
      <c r="M26" s="948">
        <f>M25/20</f>
        <v>11.338013625000002</v>
      </c>
      <c r="N26" s="949"/>
      <c r="O26" s="949"/>
      <c r="P26" s="949"/>
      <c r="Q26" s="949"/>
      <c r="R26" s="949"/>
      <c r="S26" s="948">
        <f>S25/20</f>
        <v>2.8345034062500001</v>
      </c>
      <c r="T26" s="949"/>
      <c r="U26" s="225">
        <f>SUM(G26:T26)</f>
        <v>22.003285776598467</v>
      </c>
    </row>
    <row r="27" spans="2:23" x14ac:dyDescent="0.2">
      <c r="G27" s="190" t="s">
        <v>313</v>
      </c>
      <c r="H27" s="190" t="s">
        <v>273</v>
      </c>
    </row>
    <row r="28" spans="2:23" ht="13.5" thickBot="1" x14ac:dyDescent="0.25">
      <c r="G28" s="224">
        <f>G25+J18+L18</f>
        <v>153.78749726838237</v>
      </c>
      <c r="H28" s="190">
        <f>G28/20</f>
        <v>7.6893748634191184</v>
      </c>
    </row>
    <row r="29" spans="2:23" ht="13.5" thickBot="1" x14ac:dyDescent="0.25">
      <c r="C29" s="890" t="s">
        <v>312</v>
      </c>
      <c r="D29" s="891"/>
      <c r="E29" s="223">
        <v>8</v>
      </c>
      <c r="G29" s="222">
        <v>2</v>
      </c>
      <c r="H29" s="222">
        <v>2</v>
      </c>
      <c r="I29" s="222">
        <v>9</v>
      </c>
      <c r="J29" s="221">
        <v>8</v>
      </c>
      <c r="K29" s="221">
        <v>10</v>
      </c>
      <c r="L29" s="221">
        <v>10</v>
      </c>
      <c r="M29" s="221">
        <v>10</v>
      </c>
      <c r="N29" s="221">
        <v>8</v>
      </c>
      <c r="O29" s="221">
        <v>8</v>
      </c>
      <c r="P29" s="221"/>
      <c r="Q29" s="221"/>
      <c r="R29" s="221"/>
    </row>
    <row r="30" spans="2:23" ht="13.5" thickBot="1" x14ac:dyDescent="0.25">
      <c r="C30" s="890" t="s">
        <v>311</v>
      </c>
      <c r="D30" s="891"/>
      <c r="E30" s="219">
        <f>H23+J23+L23+N23+P23+R23+T23</f>
        <v>88.013143106393869</v>
      </c>
      <c r="R30" s="220"/>
    </row>
    <row r="31" spans="2:23" ht="13.5" thickBot="1" x14ac:dyDescent="0.25">
      <c r="C31" s="890" t="s">
        <v>310</v>
      </c>
      <c r="D31" s="891"/>
      <c r="E31" s="219">
        <f>E30/4</f>
        <v>22.003285776598467</v>
      </c>
    </row>
    <row r="32" spans="2:23" ht="15" customHeight="1" x14ac:dyDescent="0.25">
      <c r="K32" s="925" t="s">
        <v>309</v>
      </c>
      <c r="L32" s="925"/>
      <c r="N32" s="895" t="s">
        <v>308</v>
      </c>
      <c r="O32" s="896"/>
      <c r="P32" s="202">
        <v>1</v>
      </c>
      <c r="Q32" s="199">
        <f>+U32</f>
        <v>22</v>
      </c>
      <c r="R32" s="184"/>
      <c r="U32" s="195">
        <v>22</v>
      </c>
    </row>
    <row r="33" spans="5:22" ht="15" x14ac:dyDescent="0.2">
      <c r="E33" s="927" t="s">
        <v>206</v>
      </c>
      <c r="F33" s="927"/>
      <c r="G33" s="927"/>
      <c r="H33" s="927"/>
      <c r="I33" s="217"/>
      <c r="J33" s="217"/>
      <c r="K33" s="928">
        <f>G22*H23</f>
        <v>93.321676977941166</v>
      </c>
      <c r="L33" s="928"/>
      <c r="N33" s="900" t="s">
        <v>307</v>
      </c>
      <c r="O33" s="901"/>
      <c r="P33" s="206"/>
      <c r="Q33" s="199"/>
      <c r="R33" s="185">
        <v>1</v>
      </c>
      <c r="S33" s="184" t="s">
        <v>306</v>
      </c>
      <c r="T33" s="209">
        <v>1</v>
      </c>
      <c r="U33" s="205">
        <v>3</v>
      </c>
      <c r="V33" s="185">
        <f>+T33*U33*R33</f>
        <v>3</v>
      </c>
    </row>
    <row r="34" spans="5:22" ht="15" x14ac:dyDescent="0.2">
      <c r="E34" s="931" t="s">
        <v>207</v>
      </c>
      <c r="F34" s="932"/>
      <c r="G34" s="932"/>
      <c r="H34" s="933"/>
      <c r="I34" s="217"/>
      <c r="J34" s="217"/>
      <c r="K34" s="928">
        <f>I22*J23</f>
        <v>75.236916967391309</v>
      </c>
      <c r="L34" s="928"/>
      <c r="N34" s="901"/>
      <c r="O34" s="901"/>
      <c r="P34" s="206"/>
      <c r="Q34" s="199"/>
      <c r="R34" s="185">
        <v>1</v>
      </c>
      <c r="S34" s="184" t="s">
        <v>297</v>
      </c>
      <c r="T34" s="209">
        <v>0.2</v>
      </c>
      <c r="U34" s="205">
        <f>U32-U33</f>
        <v>19</v>
      </c>
      <c r="V34" s="185">
        <f>+T34*U34*R34</f>
        <v>3.8000000000000003</v>
      </c>
    </row>
    <row r="35" spans="5:22" ht="15" x14ac:dyDescent="0.2">
      <c r="E35" s="934"/>
      <c r="F35" s="935"/>
      <c r="G35" s="935"/>
      <c r="H35" s="936"/>
      <c r="I35" s="217"/>
      <c r="J35" s="217"/>
      <c r="K35" s="928">
        <f>K22*L23</f>
        <v>87.668447287499987</v>
      </c>
      <c r="L35" s="928"/>
      <c r="N35" s="901"/>
      <c r="O35" s="901"/>
      <c r="P35" s="206">
        <f>+T35</f>
        <v>0.30909090909090914</v>
      </c>
      <c r="Q35" s="199">
        <f>+U32</f>
        <v>22</v>
      </c>
      <c r="R35" s="184">
        <v>1</v>
      </c>
      <c r="S35" s="187" t="s">
        <v>295</v>
      </c>
      <c r="T35" s="202">
        <f>+V35/U35/R35</f>
        <v>0.30909090909090914</v>
      </c>
      <c r="U35" s="205">
        <f>+U33+U34</f>
        <v>22</v>
      </c>
      <c r="V35" s="185">
        <f>SUM(V33:V34)</f>
        <v>6.8000000000000007</v>
      </c>
    </row>
    <row r="36" spans="5:22" ht="15" x14ac:dyDescent="0.2">
      <c r="E36" s="927" t="s">
        <v>208</v>
      </c>
      <c r="F36" s="927"/>
      <c r="G36" s="927"/>
      <c r="H36" s="927"/>
      <c r="I36" s="217"/>
      <c r="J36" s="217"/>
      <c r="K36" s="928">
        <f>M22*N23</f>
        <v>154.19698530000002</v>
      </c>
      <c r="L36" s="928"/>
      <c r="N36" s="895" t="s">
        <v>305</v>
      </c>
      <c r="O36" s="896"/>
      <c r="P36" s="202">
        <v>1</v>
      </c>
      <c r="Q36" s="199">
        <f>+U32</f>
        <v>22</v>
      </c>
      <c r="R36" s="184"/>
      <c r="T36" s="209"/>
      <c r="U36" s="205"/>
    </row>
    <row r="37" spans="5:22" ht="15" x14ac:dyDescent="0.2">
      <c r="E37" s="927"/>
      <c r="F37" s="927"/>
      <c r="G37" s="927"/>
      <c r="H37" s="927"/>
      <c r="I37" s="217"/>
      <c r="J37" s="217"/>
      <c r="K37" s="928">
        <f>O22*P23</f>
        <v>136.05616350000003</v>
      </c>
      <c r="L37" s="928"/>
      <c r="N37" s="900" t="s">
        <v>304</v>
      </c>
      <c r="O37" s="901"/>
      <c r="P37" s="210"/>
      <c r="Q37" s="199"/>
      <c r="R37" s="184">
        <v>4</v>
      </c>
      <c r="S37" s="184" t="s">
        <v>303</v>
      </c>
      <c r="T37" s="209">
        <v>1</v>
      </c>
      <c r="U37" s="205">
        <v>11.5</v>
      </c>
      <c r="V37" s="185">
        <f>+T37*U37*R37</f>
        <v>46</v>
      </c>
    </row>
    <row r="38" spans="5:22" ht="15" x14ac:dyDescent="0.2">
      <c r="E38" s="927"/>
      <c r="F38" s="927"/>
      <c r="G38" s="927"/>
      <c r="H38" s="927"/>
      <c r="I38" s="217"/>
      <c r="J38" s="217"/>
      <c r="K38" s="928">
        <f>Q22*R23</f>
        <v>136.05616350000003</v>
      </c>
      <c r="L38" s="928"/>
      <c r="N38" s="901"/>
      <c r="O38" s="901"/>
      <c r="P38" s="210"/>
      <c r="Q38" s="199"/>
      <c r="R38" s="184">
        <v>4</v>
      </c>
      <c r="S38" s="184" t="s">
        <v>297</v>
      </c>
      <c r="T38" s="209">
        <v>0</v>
      </c>
      <c r="U38" s="205">
        <f>+U32-U37</f>
        <v>10.5</v>
      </c>
      <c r="V38" s="185">
        <f>+T38*U38*R38</f>
        <v>0</v>
      </c>
    </row>
    <row r="39" spans="5:22" ht="15.75" thickBot="1" x14ac:dyDescent="0.25">
      <c r="E39" s="929" t="s">
        <v>302</v>
      </c>
      <c r="F39" s="929"/>
      <c r="G39" s="929"/>
      <c r="H39" s="929"/>
      <c r="I39" s="215"/>
      <c r="J39" s="215"/>
      <c r="K39" s="930">
        <f>S22*T23</f>
        <v>56.690068125000003</v>
      </c>
      <c r="L39" s="930"/>
      <c r="N39" s="901"/>
      <c r="O39" s="901"/>
      <c r="P39" s="206">
        <f>+T39</f>
        <v>0.52272727272727271</v>
      </c>
      <c r="Q39" s="199"/>
      <c r="R39" s="184">
        <v>4</v>
      </c>
      <c r="S39" s="187" t="s">
        <v>295</v>
      </c>
      <c r="T39" s="202">
        <f>+V39/U39/R39</f>
        <v>0.52272727272727271</v>
      </c>
      <c r="U39" s="205">
        <f>+U37+U38</f>
        <v>22</v>
      </c>
      <c r="V39" s="185">
        <f>SUM(V37:V38)</f>
        <v>46</v>
      </c>
    </row>
    <row r="40" spans="5:22" ht="15" customHeight="1" thickBot="1" x14ac:dyDescent="0.25">
      <c r="E40" s="898" t="s">
        <v>301</v>
      </c>
      <c r="F40" s="899"/>
      <c r="G40" s="899"/>
      <c r="H40" s="899"/>
      <c r="I40" s="213"/>
      <c r="J40" s="213"/>
      <c r="K40" s="873">
        <f>SUM(K33:K39)</f>
        <v>739.22642165783259</v>
      </c>
      <c r="L40" s="874"/>
      <c r="N40" s="900" t="s">
        <v>300</v>
      </c>
      <c r="O40" s="901"/>
      <c r="P40" s="210"/>
      <c r="Q40" s="199"/>
      <c r="R40" s="185">
        <v>3</v>
      </c>
      <c r="S40" s="184" t="s">
        <v>299</v>
      </c>
      <c r="T40" s="209">
        <v>1</v>
      </c>
      <c r="U40" s="205">
        <v>19</v>
      </c>
      <c r="V40" s="185">
        <f>+T40*U40*R40</f>
        <v>57</v>
      </c>
    </row>
    <row r="41" spans="5:22" ht="15" customHeight="1" x14ac:dyDescent="0.2">
      <c r="E41" s="902" t="s">
        <v>298</v>
      </c>
      <c r="F41" s="902"/>
      <c r="G41" s="902"/>
      <c r="H41" s="902"/>
      <c r="I41" s="211"/>
      <c r="J41" s="211"/>
      <c r="K41" s="903">
        <f>K40*40</f>
        <v>29569.056866313302</v>
      </c>
      <c r="L41" s="903"/>
      <c r="N41" s="901"/>
      <c r="O41" s="901"/>
      <c r="P41" s="210"/>
      <c r="Q41" s="199"/>
      <c r="R41" s="185">
        <v>3</v>
      </c>
      <c r="S41" s="184" t="s">
        <v>297</v>
      </c>
      <c r="T41" s="209">
        <v>0</v>
      </c>
      <c r="U41" s="205">
        <f>+U32-U40</f>
        <v>3</v>
      </c>
      <c r="V41" s="185">
        <f>+T41*U41*R41</f>
        <v>0</v>
      </c>
    </row>
    <row r="42" spans="5:22" ht="15.75" customHeight="1" x14ac:dyDescent="0.2">
      <c r="E42" s="925" t="s">
        <v>296</v>
      </c>
      <c r="F42" s="925"/>
      <c r="G42" s="925"/>
      <c r="H42" s="925"/>
      <c r="I42" s="207"/>
      <c r="J42" s="207"/>
      <c r="K42" s="926">
        <f>160*E31</f>
        <v>3520.5257242557545</v>
      </c>
      <c r="L42" s="926"/>
      <c r="N42" s="901"/>
      <c r="O42" s="901"/>
      <c r="P42" s="206">
        <f>+T42</f>
        <v>0.86363636363636365</v>
      </c>
      <c r="Q42" s="199"/>
      <c r="R42" s="187">
        <v>3</v>
      </c>
      <c r="S42" s="187" t="s">
        <v>295</v>
      </c>
      <c r="T42" s="202">
        <f>+V42/U42/R42</f>
        <v>0.86363636363636365</v>
      </c>
      <c r="U42" s="205">
        <f>+U40+U41</f>
        <v>22</v>
      </c>
      <c r="V42" s="185">
        <f>+V40+V41</f>
        <v>57</v>
      </c>
    </row>
    <row r="43" spans="5:22" ht="15" x14ac:dyDescent="0.2">
      <c r="E43" s="893" t="s">
        <v>294</v>
      </c>
      <c r="F43" s="893"/>
      <c r="G43" s="893"/>
      <c r="H43" s="893"/>
      <c r="I43" s="204"/>
      <c r="J43" s="204"/>
      <c r="K43" s="894">
        <f>80*E31</f>
        <v>1760.2628621278773</v>
      </c>
      <c r="L43" s="894"/>
      <c r="N43" s="895" t="s">
        <v>293</v>
      </c>
      <c r="O43" s="896"/>
      <c r="P43" s="202">
        <v>0.25</v>
      </c>
      <c r="Q43" s="199">
        <f>+U32</f>
        <v>22</v>
      </c>
      <c r="R43" s="184"/>
    </row>
    <row r="44" spans="5:22" ht="15.75" thickBot="1" x14ac:dyDescent="0.25">
      <c r="E44" s="897" t="s">
        <v>109</v>
      </c>
      <c r="F44" s="893"/>
      <c r="G44" s="893"/>
      <c r="H44" s="893"/>
      <c r="I44" s="203"/>
      <c r="J44" s="203"/>
      <c r="K44" s="894">
        <f>32*E31</f>
        <v>704.10514485115095</v>
      </c>
      <c r="L44" s="894"/>
      <c r="N44" s="895" t="s">
        <v>109</v>
      </c>
      <c r="O44" s="896"/>
      <c r="P44" s="202">
        <v>0.05</v>
      </c>
      <c r="Q44" s="199">
        <f>+U32</f>
        <v>22</v>
      </c>
      <c r="R44" s="184"/>
    </row>
    <row r="45" spans="5:22" ht="15.75" thickBot="1" x14ac:dyDescent="0.25">
      <c r="E45" s="871" t="s">
        <v>292</v>
      </c>
      <c r="F45" s="872"/>
      <c r="G45" s="872"/>
      <c r="H45" s="872"/>
      <c r="I45" s="200"/>
      <c r="J45" s="200"/>
      <c r="K45" s="873">
        <f>SUM(K41:K44)</f>
        <v>35553.950597548086</v>
      </c>
      <c r="L45" s="874"/>
      <c r="N45" s="875"/>
      <c r="O45" s="875"/>
      <c r="P45" s="875"/>
      <c r="R45" s="199"/>
    </row>
    <row r="46" spans="5:22" ht="13.5" thickBot="1" x14ac:dyDescent="0.25"/>
    <row r="47" spans="5:22" ht="13.5" thickBot="1" x14ac:dyDescent="0.25">
      <c r="K47" s="873" t="e">
        <f>+#REF!</f>
        <v>#REF!</v>
      </c>
      <c r="L47" s="874"/>
    </row>
  </sheetData>
  <mergeCells count="123">
    <mergeCell ref="G2:H2"/>
    <mergeCell ref="I2:L2"/>
    <mergeCell ref="M2:R2"/>
    <mergeCell ref="S2:T2"/>
    <mergeCell ref="G3:H3"/>
    <mergeCell ref="I3:J3"/>
    <mergeCell ref="K3:L3"/>
    <mergeCell ref="M3:N3"/>
    <mergeCell ref="O3:P3"/>
    <mergeCell ref="Q3:R3"/>
    <mergeCell ref="S3:T3"/>
    <mergeCell ref="Q5:Q6"/>
    <mergeCell ref="R5:R6"/>
    <mergeCell ref="S5:S6"/>
    <mergeCell ref="T5:T6"/>
    <mergeCell ref="B7:B11"/>
    <mergeCell ref="F7:F11"/>
    <mergeCell ref="G7:G11"/>
    <mergeCell ref="H7:H11"/>
    <mergeCell ref="I7:I11"/>
    <mergeCell ref="J7:J11"/>
    <mergeCell ref="K7:K11"/>
    <mergeCell ref="L7:L11"/>
    <mergeCell ref="M7:M11"/>
    <mergeCell ref="B5:B6"/>
    <mergeCell ref="F5:F6"/>
    <mergeCell ref="G5:G6"/>
    <mergeCell ref="H5:H6"/>
    <mergeCell ref="I5:I6"/>
    <mergeCell ref="J5:J6"/>
    <mergeCell ref="K5:K6"/>
    <mergeCell ref="L5:L6"/>
    <mergeCell ref="M5:M6"/>
    <mergeCell ref="T7:T11"/>
    <mergeCell ref="Q7:Q11"/>
    <mergeCell ref="B12:B14"/>
    <mergeCell ref="F12:F14"/>
    <mergeCell ref="G12:G14"/>
    <mergeCell ref="H12:H14"/>
    <mergeCell ref="I12:I14"/>
    <mergeCell ref="J12:J14"/>
    <mergeCell ref="N5:N6"/>
    <mergeCell ref="O5:O6"/>
    <mergeCell ref="P5:P6"/>
    <mergeCell ref="R7:R11"/>
    <mergeCell ref="S7:S11"/>
    <mergeCell ref="K17:L17"/>
    <mergeCell ref="M17:N17"/>
    <mergeCell ref="O17:P17"/>
    <mergeCell ref="T12:T14"/>
    <mergeCell ref="K12:K14"/>
    <mergeCell ref="L12:L14"/>
    <mergeCell ref="M12:M14"/>
    <mergeCell ref="N7:N11"/>
    <mergeCell ref="O7:O11"/>
    <mergeCell ref="P7:P11"/>
    <mergeCell ref="O12:O14"/>
    <mergeCell ref="P12:P14"/>
    <mergeCell ref="E16:F16"/>
    <mergeCell ref="G16:H16"/>
    <mergeCell ref="I16:L16"/>
    <mergeCell ref="M16:R16"/>
    <mergeCell ref="S16:T16"/>
    <mergeCell ref="N12:N14"/>
    <mergeCell ref="Q17:R17"/>
    <mergeCell ref="S17:T17"/>
    <mergeCell ref="D18:D21"/>
    <mergeCell ref="E18:F18"/>
    <mergeCell ref="E19:F19"/>
    <mergeCell ref="E20:F20"/>
    <mergeCell ref="E21:F21"/>
    <mergeCell ref="E17:F17"/>
    <mergeCell ref="G17:H17"/>
    <mergeCell ref="I17:J17"/>
    <mergeCell ref="Q12:Q14"/>
    <mergeCell ref="R12:R14"/>
    <mergeCell ref="S12:S14"/>
    <mergeCell ref="E22:F22"/>
    <mergeCell ref="E24:F24"/>
    <mergeCell ref="G25:H25"/>
    <mergeCell ref="I25:L25"/>
    <mergeCell ref="M25:R25"/>
    <mergeCell ref="S25:T25"/>
    <mergeCell ref="G26:H26"/>
    <mergeCell ref="I26:L26"/>
    <mergeCell ref="M26:R26"/>
    <mergeCell ref="S26:T26"/>
    <mergeCell ref="C29:D29"/>
    <mergeCell ref="C30:D30"/>
    <mergeCell ref="C31:D31"/>
    <mergeCell ref="K32:L32"/>
    <mergeCell ref="N32:O32"/>
    <mergeCell ref="E33:H33"/>
    <mergeCell ref="K33:L33"/>
    <mergeCell ref="N33:O35"/>
    <mergeCell ref="E34:H35"/>
    <mergeCell ref="K34:L34"/>
    <mergeCell ref="K35:L35"/>
    <mergeCell ref="E36:H38"/>
    <mergeCell ref="K36:L36"/>
    <mergeCell ref="N36:O36"/>
    <mergeCell ref="K37:L37"/>
    <mergeCell ref="N37:O39"/>
    <mergeCell ref="K38:L38"/>
    <mergeCell ref="E39:H39"/>
    <mergeCell ref="K39:L39"/>
    <mergeCell ref="E40:H40"/>
    <mergeCell ref="K40:L40"/>
    <mergeCell ref="N40:O42"/>
    <mergeCell ref="E41:H41"/>
    <mergeCell ref="K41:L41"/>
    <mergeCell ref="E42:H42"/>
    <mergeCell ref="K42:L42"/>
    <mergeCell ref="K47:L47"/>
    <mergeCell ref="E43:H43"/>
    <mergeCell ref="K43:L43"/>
    <mergeCell ref="N43:O43"/>
    <mergeCell ref="E44:H44"/>
    <mergeCell ref="K44:L44"/>
    <mergeCell ref="E45:H45"/>
    <mergeCell ref="K45:L45"/>
    <mergeCell ref="N45:P45"/>
    <mergeCell ref="N44:O44"/>
  </mergeCells>
  <pageMargins left="0.70866141732283472" right="0.70866141732283472" top="0.74803149606299213" bottom="0.74803149606299213" header="0.31496062992125984" footer="0.31496062992125984"/>
  <pageSetup scale="7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23"/>
  <sheetViews>
    <sheetView topLeftCell="C1" workbookViewId="0">
      <selection activeCell="G14" sqref="G14"/>
    </sheetView>
  </sheetViews>
  <sheetFormatPr baseColWidth="10" defaultRowHeight="12.75" x14ac:dyDescent="0.2"/>
  <cols>
    <col min="1" max="1" width="21" style="185" bestFit="1" customWidth="1"/>
    <col min="2" max="2" width="15.5703125" style="185" bestFit="1" customWidth="1"/>
    <col min="3" max="3" width="13.42578125" style="185" bestFit="1" customWidth="1"/>
    <col min="4" max="4" width="21.5703125" style="185" bestFit="1" customWidth="1"/>
    <col min="5" max="5" width="16.7109375" style="185" bestFit="1" customWidth="1"/>
    <col min="6" max="6" width="19.7109375" style="185" bestFit="1" customWidth="1"/>
    <col min="7" max="7" width="20.7109375" style="185" bestFit="1" customWidth="1"/>
    <col min="8" max="8" width="18.7109375" style="185" bestFit="1" customWidth="1"/>
    <col min="9" max="9" width="11.42578125" style="185"/>
    <col min="10" max="10" width="12.7109375" style="185" bestFit="1" customWidth="1"/>
    <col min="11" max="16384" width="11.42578125" style="185"/>
  </cols>
  <sheetData>
    <row r="1" spans="1:11" x14ac:dyDescent="0.2">
      <c r="A1" s="311" t="s">
        <v>288</v>
      </c>
      <c r="B1" s="184" t="s">
        <v>391</v>
      </c>
    </row>
    <row r="2" spans="1:11" x14ac:dyDescent="0.2">
      <c r="A2" s="311" t="s">
        <v>340</v>
      </c>
    </row>
    <row r="3" spans="1:11" x14ac:dyDescent="0.2">
      <c r="A3" s="311" t="s">
        <v>341</v>
      </c>
      <c r="B3" s="184" t="s">
        <v>391</v>
      </c>
    </row>
    <row r="4" spans="1:11" x14ac:dyDescent="0.2">
      <c r="A4" s="311" t="s">
        <v>392</v>
      </c>
      <c r="B4" s="184" t="s">
        <v>391</v>
      </c>
      <c r="F4" s="189"/>
      <c r="G4" s="189"/>
    </row>
    <row r="5" spans="1:11" x14ac:dyDescent="0.2">
      <c r="A5" s="311" t="s">
        <v>390</v>
      </c>
      <c r="B5" s="184" t="s">
        <v>389</v>
      </c>
    </row>
    <row r="7" spans="1:11" ht="15" x14ac:dyDescent="0.25">
      <c r="A7" s="301" t="s">
        <v>388</v>
      </c>
      <c r="B7" s="295" t="s">
        <v>288</v>
      </c>
      <c r="D7" s="302" t="s">
        <v>361</v>
      </c>
      <c r="E7" s="301">
        <v>32</v>
      </c>
    </row>
    <row r="8" spans="1:11" ht="15" x14ac:dyDescent="0.25">
      <c r="C8" s="295" t="s">
        <v>360</v>
      </c>
      <c r="D8" s="302" t="s">
        <v>359</v>
      </c>
      <c r="E8" s="301">
        <v>12</v>
      </c>
      <c r="H8" s="300" t="s">
        <v>269</v>
      </c>
    </row>
    <row r="9" spans="1:11" ht="15" x14ac:dyDescent="0.25">
      <c r="G9" s="300" t="s">
        <v>358</v>
      </c>
      <c r="H9" s="300" t="s">
        <v>357</v>
      </c>
    </row>
    <row r="10" spans="1:11" ht="15" x14ac:dyDescent="0.25">
      <c r="E10" s="300" t="s">
        <v>356</v>
      </c>
      <c r="F10" s="300" t="s">
        <v>355</v>
      </c>
      <c r="G10" s="300" t="s">
        <v>354</v>
      </c>
      <c r="H10" s="300" t="s">
        <v>353</v>
      </c>
    </row>
    <row r="11" spans="1:11" ht="15" x14ac:dyDescent="0.25">
      <c r="D11" s="300" t="s">
        <v>352</v>
      </c>
      <c r="E11" s="300" t="s">
        <v>351</v>
      </c>
      <c r="F11" s="300" t="s">
        <v>351</v>
      </c>
      <c r="G11" s="300" t="s">
        <v>350</v>
      </c>
      <c r="H11" s="300" t="s">
        <v>349</v>
      </c>
      <c r="I11" s="300" t="s">
        <v>348</v>
      </c>
      <c r="J11" s="300" t="s">
        <v>347</v>
      </c>
    </row>
    <row r="12" spans="1:11" ht="18.75" x14ac:dyDescent="0.3">
      <c r="D12" s="300" t="s">
        <v>289</v>
      </c>
      <c r="E12" s="298">
        <f>6500*12</f>
        <v>78000</v>
      </c>
      <c r="F12" s="298">
        <v>500</v>
      </c>
      <c r="G12" s="299">
        <f>+E12/F12</f>
        <v>156</v>
      </c>
      <c r="H12" s="297">
        <v>0.2</v>
      </c>
      <c r="J12" s="298">
        <v>76500</v>
      </c>
      <c r="K12" s="185">
        <v>76087</v>
      </c>
    </row>
    <row r="13" spans="1:11" ht="15" x14ac:dyDescent="0.25">
      <c r="G13" s="185">
        <f>+G12*H12</f>
        <v>31.200000000000003</v>
      </c>
      <c r="J13" s="298">
        <f>+E12*J12</f>
        <v>5967000000</v>
      </c>
    </row>
    <row r="14" spans="1:11" ht="18.75" x14ac:dyDescent="0.3">
      <c r="D14" s="295" t="s">
        <v>346</v>
      </c>
      <c r="G14" s="296">
        <v>32</v>
      </c>
    </row>
    <row r="15" spans="1:11" ht="15" x14ac:dyDescent="0.25">
      <c r="D15" s="189">
        <f>+E15*$F$12*$J$12*H15</f>
        <v>14917500</v>
      </c>
      <c r="E15" s="295">
        <v>13</v>
      </c>
      <c r="F15" s="295">
        <f>+$G$14*G15</f>
        <v>12.8</v>
      </c>
      <c r="G15" s="297">
        <v>0.4</v>
      </c>
      <c r="H15" s="297">
        <v>0.03</v>
      </c>
      <c r="I15" s="191">
        <v>1</v>
      </c>
    </row>
    <row r="16" spans="1:11" ht="15" x14ac:dyDescent="0.25">
      <c r="D16" s="189">
        <f>+E16*$F$12*$J$12*H16</f>
        <v>19125000</v>
      </c>
      <c r="E16" s="295">
        <v>10</v>
      </c>
      <c r="F16" s="295">
        <f>+$G$14*G16</f>
        <v>9.6</v>
      </c>
      <c r="G16" s="297">
        <v>0.3</v>
      </c>
      <c r="H16" s="297">
        <v>0.05</v>
      </c>
      <c r="I16" s="191">
        <v>2</v>
      </c>
    </row>
    <row r="17" spans="3:9" ht="15" x14ac:dyDescent="0.25">
      <c r="D17" s="189">
        <f>+E17*$F$12*$J$12*H17</f>
        <v>16065000.000000002</v>
      </c>
      <c r="E17" s="295">
        <v>6</v>
      </c>
      <c r="F17" s="295">
        <f>+$G$14*G17</f>
        <v>6.4</v>
      </c>
      <c r="G17" s="297">
        <v>0.2</v>
      </c>
      <c r="H17" s="297">
        <v>7.0000000000000007E-2</v>
      </c>
      <c r="I17" s="191">
        <v>3</v>
      </c>
    </row>
    <row r="18" spans="3:9" ht="15" x14ac:dyDescent="0.25">
      <c r="D18" s="189">
        <f>+E18*$F$12*$J$12*H18</f>
        <v>11475000</v>
      </c>
      <c r="E18" s="295">
        <v>3</v>
      </c>
      <c r="F18" s="295">
        <f>+$G$14*G18</f>
        <v>3.2</v>
      </c>
      <c r="G18" s="297">
        <v>0.1</v>
      </c>
      <c r="H18" s="297">
        <v>0.1</v>
      </c>
      <c r="I18" s="191" t="s">
        <v>345</v>
      </c>
    </row>
    <row r="19" spans="3:9" ht="18.75" x14ac:dyDescent="0.3">
      <c r="D19" s="298">
        <f>SUM(D15:D18)</f>
        <v>61582500</v>
      </c>
      <c r="E19" s="296">
        <f>SUM(E15:E18)</f>
        <v>32</v>
      </c>
    </row>
    <row r="20" spans="3:9" x14ac:dyDescent="0.2">
      <c r="D20" s="209"/>
    </row>
    <row r="22" spans="3:9" ht="15" x14ac:dyDescent="0.25">
      <c r="C22" s="184" t="s">
        <v>387</v>
      </c>
      <c r="D22" s="298">
        <f>+D19*E7/E8</f>
        <v>164220000</v>
      </c>
      <c r="E22" s="310" t="s">
        <v>386</v>
      </c>
    </row>
    <row r="23" spans="3:9" x14ac:dyDescent="0.2">
      <c r="D23" s="202">
        <f>+D22/J13</f>
        <v>2.752136752136752E-2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6:K40"/>
  <sheetViews>
    <sheetView workbookViewId="0">
      <selection activeCell="G14" sqref="G14"/>
    </sheetView>
  </sheetViews>
  <sheetFormatPr baseColWidth="10" defaultRowHeight="12.75" x14ac:dyDescent="0.2"/>
  <cols>
    <col min="1" max="1" width="29.7109375" style="185" bestFit="1" customWidth="1"/>
    <col min="2" max="16384" width="11.42578125" style="185"/>
  </cols>
  <sheetData>
    <row r="6" spans="1:6" x14ac:dyDescent="0.2">
      <c r="B6" s="185" t="s">
        <v>416</v>
      </c>
    </row>
    <row r="7" spans="1:6" x14ac:dyDescent="0.2">
      <c r="C7" s="185">
        <v>160</v>
      </c>
    </row>
    <row r="8" spans="1:6" x14ac:dyDescent="0.2">
      <c r="A8" s="185" t="s">
        <v>372</v>
      </c>
      <c r="B8" s="189">
        <v>112000</v>
      </c>
      <c r="C8" s="189">
        <f t="shared" ref="C8:C13" si="0">B8*$C$7</f>
        <v>17920000</v>
      </c>
      <c r="D8" s="189">
        <f t="shared" ref="D8:D13" si="1">+C8*0.75</f>
        <v>13440000</v>
      </c>
      <c r="E8" s="189">
        <f t="shared" ref="E8:E13" si="2">+D8/2.1</f>
        <v>6400000</v>
      </c>
      <c r="F8" s="185">
        <f>4500000/1.52</f>
        <v>2960526.3157894737</v>
      </c>
    </row>
    <row r="9" spans="1:6" x14ac:dyDescent="0.2">
      <c r="A9" s="185" t="s">
        <v>415</v>
      </c>
      <c r="B9" s="189">
        <v>92500</v>
      </c>
      <c r="C9" s="189">
        <f t="shared" si="0"/>
        <v>14800000</v>
      </c>
      <c r="D9" s="189">
        <f t="shared" si="1"/>
        <v>11100000</v>
      </c>
      <c r="E9" s="189">
        <f t="shared" si="2"/>
        <v>5285714.2857142854</v>
      </c>
    </row>
    <row r="10" spans="1:6" x14ac:dyDescent="0.2">
      <c r="A10" s="185" t="s">
        <v>414</v>
      </c>
      <c r="B10" s="189">
        <v>74000</v>
      </c>
      <c r="C10" s="189">
        <f t="shared" si="0"/>
        <v>11840000</v>
      </c>
      <c r="D10" s="189">
        <f t="shared" si="1"/>
        <v>8880000</v>
      </c>
      <c r="E10" s="189">
        <f t="shared" si="2"/>
        <v>4228571.4285714282</v>
      </c>
    </row>
    <row r="11" spans="1:6" x14ac:dyDescent="0.2">
      <c r="A11" s="185" t="s">
        <v>413</v>
      </c>
      <c r="B11" s="189">
        <v>60200</v>
      </c>
      <c r="C11" s="189">
        <f t="shared" si="0"/>
        <v>9632000</v>
      </c>
      <c r="D11" s="189">
        <f t="shared" si="1"/>
        <v>7224000</v>
      </c>
      <c r="E11" s="189">
        <f t="shared" si="2"/>
        <v>3440000</v>
      </c>
    </row>
    <row r="12" spans="1:6" x14ac:dyDescent="0.2">
      <c r="A12" s="185" t="s">
        <v>412</v>
      </c>
      <c r="B12" s="189">
        <v>53700</v>
      </c>
      <c r="C12" s="189">
        <f t="shared" si="0"/>
        <v>8592000</v>
      </c>
      <c r="D12" s="189">
        <f t="shared" si="1"/>
        <v>6444000</v>
      </c>
      <c r="E12" s="189">
        <f t="shared" si="2"/>
        <v>3068571.4285714286</v>
      </c>
    </row>
    <row r="13" spans="1:6" x14ac:dyDescent="0.2">
      <c r="A13" s="185" t="s">
        <v>411</v>
      </c>
      <c r="B13" s="189">
        <v>42600</v>
      </c>
      <c r="C13" s="189">
        <f t="shared" si="0"/>
        <v>6816000</v>
      </c>
      <c r="D13" s="189">
        <f t="shared" si="1"/>
        <v>5112000</v>
      </c>
      <c r="E13" s="189">
        <f t="shared" si="2"/>
        <v>2434285.7142857141</v>
      </c>
    </row>
    <row r="14" spans="1:6" x14ac:dyDescent="0.2">
      <c r="B14" s="189"/>
    </row>
    <row r="15" spans="1:6" x14ac:dyDescent="0.2">
      <c r="B15" s="189"/>
    </row>
    <row r="16" spans="1:6" x14ac:dyDescent="0.2">
      <c r="B16" s="189"/>
    </row>
    <row r="17" spans="1:11" x14ac:dyDescent="0.2">
      <c r="B17" s="192" t="s">
        <v>410</v>
      </c>
      <c r="E17" s="188" t="s">
        <v>409</v>
      </c>
      <c r="F17" s="188" t="s">
        <v>286</v>
      </c>
      <c r="H17" s="289" t="s">
        <v>408</v>
      </c>
      <c r="I17" s="289"/>
      <c r="J17" s="289"/>
      <c r="K17" s="289"/>
    </row>
    <row r="18" spans="1:11" x14ac:dyDescent="0.2">
      <c r="E18" s="185">
        <v>2.1</v>
      </c>
      <c r="F18" s="185">
        <v>160</v>
      </c>
      <c r="G18" s="185">
        <v>0.75</v>
      </c>
      <c r="I18" s="185">
        <v>160</v>
      </c>
    </row>
    <row r="19" spans="1:11" x14ac:dyDescent="0.2">
      <c r="B19" s="187" t="s">
        <v>407</v>
      </c>
      <c r="C19" s="187" t="s">
        <v>406</v>
      </c>
      <c r="D19" s="187"/>
    </row>
    <row r="20" spans="1:11" x14ac:dyDescent="0.2">
      <c r="A20" s="187" t="s">
        <v>405</v>
      </c>
      <c r="B20" s="189">
        <v>4000000</v>
      </c>
      <c r="C20" s="189">
        <v>5000000</v>
      </c>
      <c r="D20" s="189">
        <f>(B20+C20)/2</f>
        <v>4500000</v>
      </c>
      <c r="E20" s="189">
        <f t="shared" ref="E20:E40" si="3">D20*$E$18</f>
        <v>9450000</v>
      </c>
      <c r="F20" s="189">
        <f>E20/$F$18</f>
        <v>59062.5</v>
      </c>
      <c r="G20" s="189">
        <f t="shared" ref="G20:G40" si="4">F20/$G$18</f>
        <v>78750</v>
      </c>
      <c r="H20" s="312">
        <v>79000</v>
      </c>
    </row>
    <row r="21" spans="1:11" x14ac:dyDescent="0.2">
      <c r="A21" s="187" t="s">
        <v>404</v>
      </c>
      <c r="B21" s="189">
        <v>2500000</v>
      </c>
      <c r="C21" s="189">
        <v>4000000</v>
      </c>
      <c r="D21" s="189">
        <f>(B21+C21)/2</f>
        <v>3250000</v>
      </c>
      <c r="E21" s="189">
        <f t="shared" si="3"/>
        <v>6825000</v>
      </c>
      <c r="F21" s="189">
        <f>E21/$F$18</f>
        <v>42656.25</v>
      </c>
      <c r="G21" s="189">
        <f t="shared" si="4"/>
        <v>56875</v>
      </c>
      <c r="H21" s="312">
        <v>56000</v>
      </c>
    </row>
    <row r="22" spans="1:11" x14ac:dyDescent="0.2">
      <c r="A22" s="187"/>
      <c r="B22" s="189"/>
      <c r="C22" s="189"/>
      <c r="D22" s="189">
        <f>(B22+C22)/2</f>
        <v>0</v>
      </c>
      <c r="E22" s="189">
        <f t="shared" si="3"/>
        <v>0</v>
      </c>
      <c r="F22" s="189"/>
      <c r="G22" s="189">
        <f t="shared" si="4"/>
        <v>0</v>
      </c>
      <c r="H22" s="312"/>
    </row>
    <row r="23" spans="1:11" x14ac:dyDescent="0.2">
      <c r="A23" s="187" t="s">
        <v>402</v>
      </c>
      <c r="B23" s="189">
        <v>3000000</v>
      </c>
      <c r="C23" s="189">
        <v>3500000</v>
      </c>
      <c r="D23" s="189">
        <f>(B23+C23)/2</f>
        <v>3250000</v>
      </c>
      <c r="E23" s="189">
        <f t="shared" si="3"/>
        <v>6825000</v>
      </c>
      <c r="F23" s="189">
        <f>E23/$F$18</f>
        <v>42656.25</v>
      </c>
      <c r="G23" s="189">
        <f t="shared" si="4"/>
        <v>56875</v>
      </c>
      <c r="H23" s="312">
        <v>56000</v>
      </c>
      <c r="I23" s="185">
        <f>I18*H23</f>
        <v>8960000</v>
      </c>
    </row>
    <row r="24" spans="1:11" x14ac:dyDescent="0.2">
      <c r="A24" s="187" t="s">
        <v>403</v>
      </c>
      <c r="B24" s="189">
        <v>2000000</v>
      </c>
      <c r="C24" s="189">
        <v>2200000</v>
      </c>
      <c r="D24" s="189">
        <f>C24</f>
        <v>2200000</v>
      </c>
      <c r="E24" s="189">
        <f t="shared" si="3"/>
        <v>4620000</v>
      </c>
      <c r="F24" s="189">
        <f>E24/$F$18</f>
        <v>28875</v>
      </c>
      <c r="G24" s="189">
        <f t="shared" si="4"/>
        <v>38500</v>
      </c>
      <c r="H24" s="312">
        <v>45000</v>
      </c>
      <c r="I24" s="185">
        <f>H24*I18</f>
        <v>7200000</v>
      </c>
    </row>
    <row r="25" spans="1:11" x14ac:dyDescent="0.2">
      <c r="A25" s="187" t="s">
        <v>402</v>
      </c>
      <c r="B25" s="189">
        <v>3000000</v>
      </c>
      <c r="C25" s="189">
        <v>3500000</v>
      </c>
      <c r="D25" s="189">
        <f t="shared" ref="D25:D40" si="5">(B25+C25)/2</f>
        <v>3250000</v>
      </c>
      <c r="E25" s="189">
        <f t="shared" si="3"/>
        <v>6825000</v>
      </c>
      <c r="F25" s="189">
        <f>E25/$F$18</f>
        <v>42656.25</v>
      </c>
      <c r="G25" s="189">
        <f t="shared" si="4"/>
        <v>56875</v>
      </c>
      <c r="H25" s="312">
        <v>56000</v>
      </c>
      <c r="I25" s="185">
        <f>H25*I18</f>
        <v>8960000</v>
      </c>
    </row>
    <row r="26" spans="1:11" x14ac:dyDescent="0.2">
      <c r="A26" s="187"/>
      <c r="B26" s="189"/>
      <c r="C26" s="189"/>
      <c r="D26" s="189">
        <f t="shared" si="5"/>
        <v>0</v>
      </c>
      <c r="E26" s="189">
        <f t="shared" si="3"/>
        <v>0</v>
      </c>
      <c r="F26" s="189"/>
      <c r="G26" s="189">
        <f t="shared" si="4"/>
        <v>0</v>
      </c>
      <c r="H26" s="312"/>
    </row>
    <row r="27" spans="1:11" x14ac:dyDescent="0.2">
      <c r="A27" s="187" t="s">
        <v>401</v>
      </c>
      <c r="B27" s="189">
        <v>3200000</v>
      </c>
      <c r="C27" s="189">
        <v>4000000</v>
      </c>
      <c r="D27" s="189">
        <f t="shared" si="5"/>
        <v>3600000</v>
      </c>
      <c r="E27" s="189">
        <f t="shared" si="3"/>
        <v>7560000</v>
      </c>
      <c r="F27" s="189">
        <f t="shared" ref="F27:F34" si="6">E27/$F$18</f>
        <v>47250</v>
      </c>
      <c r="G27" s="189">
        <f t="shared" si="4"/>
        <v>63000</v>
      </c>
      <c r="H27" s="312">
        <v>56000</v>
      </c>
    </row>
    <row r="28" spans="1:11" x14ac:dyDescent="0.2">
      <c r="A28" s="187" t="s">
        <v>400</v>
      </c>
      <c r="B28" s="189">
        <v>1800000</v>
      </c>
      <c r="C28" s="189">
        <v>2200000</v>
      </c>
      <c r="D28" s="189">
        <f t="shared" si="5"/>
        <v>2000000</v>
      </c>
      <c r="E28" s="189">
        <f t="shared" si="3"/>
        <v>4200000</v>
      </c>
      <c r="F28" s="189">
        <f t="shared" si="6"/>
        <v>26250</v>
      </c>
      <c r="G28" s="189">
        <f t="shared" si="4"/>
        <v>35000</v>
      </c>
      <c r="H28" s="312">
        <v>45000</v>
      </c>
    </row>
    <row r="29" spans="1:11" x14ac:dyDescent="0.2">
      <c r="A29" s="187"/>
      <c r="B29" s="189"/>
      <c r="C29" s="189"/>
      <c r="D29" s="189">
        <f t="shared" si="5"/>
        <v>0</v>
      </c>
      <c r="E29" s="189">
        <f t="shared" si="3"/>
        <v>0</v>
      </c>
      <c r="F29" s="189">
        <f t="shared" si="6"/>
        <v>0</v>
      </c>
      <c r="G29" s="189">
        <f t="shared" si="4"/>
        <v>0</v>
      </c>
      <c r="H29" s="312"/>
    </row>
    <row r="30" spans="1:11" x14ac:dyDescent="0.2">
      <c r="A30" s="187" t="s">
        <v>399</v>
      </c>
      <c r="B30" s="189">
        <v>3200000</v>
      </c>
      <c r="C30" s="189">
        <v>4000000</v>
      </c>
      <c r="D30" s="189">
        <f t="shared" si="5"/>
        <v>3600000</v>
      </c>
      <c r="E30" s="189">
        <f t="shared" si="3"/>
        <v>7560000</v>
      </c>
      <c r="F30" s="189">
        <f t="shared" si="6"/>
        <v>47250</v>
      </c>
      <c r="G30" s="189">
        <f t="shared" si="4"/>
        <v>63000</v>
      </c>
      <c r="H30" s="312">
        <v>56000</v>
      </c>
    </row>
    <row r="31" spans="1:11" x14ac:dyDescent="0.2">
      <c r="A31" s="187" t="s">
        <v>398</v>
      </c>
      <c r="B31" s="189">
        <v>1800000</v>
      </c>
      <c r="C31" s="189">
        <v>2200000</v>
      </c>
      <c r="D31" s="189">
        <f t="shared" si="5"/>
        <v>2000000</v>
      </c>
      <c r="E31" s="189">
        <f t="shared" si="3"/>
        <v>4200000</v>
      </c>
      <c r="F31" s="189">
        <f t="shared" si="6"/>
        <v>26250</v>
      </c>
      <c r="G31" s="189">
        <f t="shared" si="4"/>
        <v>35000</v>
      </c>
      <c r="H31" s="312">
        <v>45000</v>
      </c>
    </row>
    <row r="32" spans="1:11" x14ac:dyDescent="0.2">
      <c r="A32" s="187"/>
      <c r="B32" s="189"/>
      <c r="C32" s="189"/>
      <c r="D32" s="189">
        <f t="shared" si="5"/>
        <v>0</v>
      </c>
      <c r="E32" s="189">
        <f t="shared" si="3"/>
        <v>0</v>
      </c>
      <c r="F32" s="189">
        <f t="shared" si="6"/>
        <v>0</v>
      </c>
      <c r="G32" s="189">
        <f t="shared" si="4"/>
        <v>0</v>
      </c>
      <c r="H32" s="312"/>
    </row>
    <row r="33" spans="1:8" x14ac:dyDescent="0.2">
      <c r="A33" s="187" t="s">
        <v>397</v>
      </c>
      <c r="B33" s="189">
        <v>3000000</v>
      </c>
      <c r="C33" s="189">
        <v>3500000</v>
      </c>
      <c r="D33" s="189">
        <f t="shared" si="5"/>
        <v>3250000</v>
      </c>
      <c r="E33" s="189">
        <f t="shared" si="3"/>
        <v>6825000</v>
      </c>
      <c r="F33" s="189">
        <f t="shared" si="6"/>
        <v>42656.25</v>
      </c>
      <c r="G33" s="189">
        <f t="shared" si="4"/>
        <v>56875</v>
      </c>
      <c r="H33" s="312">
        <v>56000</v>
      </c>
    </row>
    <row r="34" spans="1:8" x14ac:dyDescent="0.2">
      <c r="A34" s="187" t="s">
        <v>396</v>
      </c>
      <c r="B34" s="189">
        <v>2000000</v>
      </c>
      <c r="C34" s="189">
        <v>2200000</v>
      </c>
      <c r="D34" s="189">
        <f t="shared" si="5"/>
        <v>2100000</v>
      </c>
      <c r="E34" s="189">
        <f t="shared" si="3"/>
        <v>4410000</v>
      </c>
      <c r="F34" s="189">
        <f t="shared" si="6"/>
        <v>27562.5</v>
      </c>
      <c r="G34" s="189">
        <f t="shared" si="4"/>
        <v>36750</v>
      </c>
      <c r="H34" s="312">
        <v>45000</v>
      </c>
    </row>
    <row r="35" spans="1:8" x14ac:dyDescent="0.2">
      <c r="A35" s="187"/>
      <c r="B35" s="189"/>
      <c r="C35" s="189"/>
      <c r="D35" s="189">
        <f t="shared" si="5"/>
        <v>0</v>
      </c>
      <c r="E35" s="189">
        <f t="shared" si="3"/>
        <v>0</v>
      </c>
      <c r="F35" s="189"/>
      <c r="G35" s="189">
        <f t="shared" si="4"/>
        <v>0</v>
      </c>
      <c r="H35" s="312"/>
    </row>
    <row r="36" spans="1:8" x14ac:dyDescent="0.2">
      <c r="A36" s="187"/>
      <c r="B36" s="189"/>
      <c r="C36" s="189"/>
      <c r="D36" s="189">
        <f t="shared" si="5"/>
        <v>0</v>
      </c>
      <c r="E36" s="189">
        <f t="shared" si="3"/>
        <v>0</v>
      </c>
      <c r="F36" s="189"/>
      <c r="G36" s="189">
        <f t="shared" si="4"/>
        <v>0</v>
      </c>
      <c r="H36" s="312"/>
    </row>
    <row r="37" spans="1:8" x14ac:dyDescent="0.2">
      <c r="A37" s="187" t="s">
        <v>395</v>
      </c>
      <c r="B37" s="189">
        <v>4000000</v>
      </c>
      <c r="C37" s="189">
        <v>6000000</v>
      </c>
      <c r="D37" s="189">
        <f t="shared" si="5"/>
        <v>5000000</v>
      </c>
      <c r="E37" s="189">
        <f t="shared" si="3"/>
        <v>10500000</v>
      </c>
      <c r="F37" s="189">
        <f>E37/$F$18</f>
        <v>65625</v>
      </c>
      <c r="G37" s="189">
        <f t="shared" si="4"/>
        <v>87500</v>
      </c>
      <c r="H37" s="312">
        <v>90000</v>
      </c>
    </row>
    <row r="38" spans="1:8" x14ac:dyDescent="0.2">
      <c r="A38" s="187" t="s">
        <v>394</v>
      </c>
      <c r="B38" s="189">
        <v>3500000</v>
      </c>
      <c r="C38" s="189">
        <v>4000000</v>
      </c>
      <c r="D38" s="189">
        <f t="shared" si="5"/>
        <v>3750000</v>
      </c>
      <c r="E38" s="189">
        <f t="shared" si="3"/>
        <v>7875000</v>
      </c>
      <c r="F38" s="189">
        <f>E38/$F$18</f>
        <v>49218.75</v>
      </c>
      <c r="G38" s="189">
        <f t="shared" si="4"/>
        <v>65625</v>
      </c>
      <c r="H38" s="312">
        <v>66000</v>
      </c>
    </row>
    <row r="39" spans="1:8" x14ac:dyDescent="0.2">
      <c r="A39" s="187"/>
      <c r="B39" s="189"/>
      <c r="C39" s="189"/>
      <c r="D39" s="189">
        <f t="shared" si="5"/>
        <v>0</v>
      </c>
      <c r="E39" s="189">
        <f t="shared" si="3"/>
        <v>0</v>
      </c>
      <c r="F39" s="189"/>
      <c r="G39" s="189">
        <f t="shared" si="4"/>
        <v>0</v>
      </c>
      <c r="H39" s="189"/>
    </row>
    <row r="40" spans="1:8" x14ac:dyDescent="0.2">
      <c r="A40" s="187" t="s">
        <v>393</v>
      </c>
      <c r="B40" s="189">
        <v>3500000</v>
      </c>
      <c r="C40" s="189">
        <v>4000000</v>
      </c>
      <c r="D40" s="189">
        <f t="shared" si="5"/>
        <v>3750000</v>
      </c>
      <c r="E40" s="189">
        <f t="shared" si="3"/>
        <v>7875000</v>
      </c>
      <c r="F40" s="189">
        <f>E40/$F$18</f>
        <v>49218.75</v>
      </c>
      <c r="G40" s="189">
        <f t="shared" si="4"/>
        <v>65625</v>
      </c>
      <c r="H40" s="189">
        <v>66000</v>
      </c>
    </row>
  </sheetData>
  <pageMargins left="0.75" right="0.75" top="1" bottom="1" header="0" footer="0"/>
  <pageSetup scale="85" orientation="landscape"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B161"/>
  <sheetViews>
    <sheetView showGridLines="0" topLeftCell="A7" zoomScaleNormal="100" workbookViewId="0">
      <selection activeCell="A11" sqref="A11"/>
    </sheetView>
  </sheetViews>
  <sheetFormatPr baseColWidth="10" defaultRowHeight="12.75" x14ac:dyDescent="0.2"/>
  <cols>
    <col min="1" max="1" width="74.28515625" style="14" bestFit="1" customWidth="1"/>
    <col min="2" max="2" width="25.42578125" style="14" customWidth="1"/>
    <col min="3" max="3" width="13" style="14" customWidth="1"/>
    <col min="4" max="4" width="15.28515625" style="14" customWidth="1"/>
    <col min="5" max="5" width="14.42578125" style="14" customWidth="1"/>
    <col min="6" max="6" width="10.28515625" style="694" customWidth="1"/>
    <col min="7" max="7" width="12.5703125" style="14" customWidth="1"/>
    <col min="8" max="8" width="15.28515625" style="14" customWidth="1"/>
    <col min="9" max="9" width="13.28515625" style="14" customWidth="1"/>
    <col min="10" max="10" width="9.7109375" style="14" customWidth="1"/>
    <col min="11" max="11" width="9.85546875" style="14" customWidth="1"/>
    <col min="12" max="12" width="12.42578125" style="14" customWidth="1"/>
    <col min="13" max="13" width="21" style="14" customWidth="1"/>
    <col min="14" max="14" width="8.42578125" style="14" customWidth="1"/>
    <col min="15" max="15" width="13.42578125" style="14" customWidth="1"/>
    <col min="16" max="16" width="18.7109375" style="14" customWidth="1"/>
    <col min="17" max="17" width="12.5703125" style="14" customWidth="1"/>
    <col min="18" max="18" width="13" style="14" customWidth="1"/>
    <col min="19" max="19" width="13.5703125" style="14" bestFit="1" customWidth="1"/>
    <col min="20" max="20" width="10.7109375" style="14" customWidth="1"/>
    <col min="21" max="21" width="13" style="14" customWidth="1"/>
    <col min="22" max="22" width="13.5703125" style="14" bestFit="1" customWidth="1"/>
    <col min="23" max="23" width="10.7109375" style="14" customWidth="1"/>
    <col min="24" max="24" width="13" style="14" customWidth="1"/>
    <col min="25" max="25" width="15.140625" style="14" customWidth="1"/>
    <col min="26" max="26" width="33.7109375" style="14" bestFit="1" customWidth="1"/>
    <col min="27" max="27" width="16" style="534" bestFit="1" customWidth="1"/>
    <col min="28" max="28" width="11.42578125" style="14"/>
    <col min="29" max="29" width="3.7109375" style="14" customWidth="1"/>
    <col min="30" max="53" width="11.42578125" style="14"/>
    <col min="54" max="54" width="41.7109375" style="557" bestFit="1" customWidth="1"/>
    <col min="55" max="16384" width="11.42578125" style="14"/>
  </cols>
  <sheetData>
    <row r="1" spans="1:54" ht="13.5" thickBot="1" x14ac:dyDescent="0.25">
      <c r="A1" s="819" t="s">
        <v>81</v>
      </c>
      <c r="B1" s="820"/>
      <c r="C1" s="820"/>
      <c r="D1" s="820"/>
      <c r="E1" s="820"/>
      <c r="F1" s="820"/>
      <c r="G1" s="820"/>
      <c r="H1" s="820"/>
      <c r="I1" s="820"/>
      <c r="J1" s="820"/>
      <c r="K1" s="820"/>
      <c r="L1" s="820"/>
      <c r="M1" s="820"/>
      <c r="N1" s="455"/>
      <c r="O1" s="455"/>
      <c r="P1" s="456"/>
      <c r="Q1" s="821" t="s">
        <v>82</v>
      </c>
      <c r="R1" s="821"/>
      <c r="S1" s="821"/>
      <c r="T1" s="821" t="s">
        <v>83</v>
      </c>
      <c r="U1" s="821"/>
      <c r="V1" s="821"/>
      <c r="W1" s="822" t="s">
        <v>84</v>
      </c>
      <c r="X1" s="822"/>
      <c r="Y1" s="822"/>
      <c r="Z1" s="23"/>
    </row>
    <row r="2" spans="1:54" s="485" customFormat="1" ht="91.5" customHeight="1" thickBot="1" x14ac:dyDescent="0.25">
      <c r="A2" s="494" t="s">
        <v>85</v>
      </c>
      <c r="B2" s="495" t="s">
        <v>29</v>
      </c>
      <c r="C2" s="495" t="s">
        <v>94</v>
      </c>
      <c r="D2" s="495" t="s">
        <v>95</v>
      </c>
      <c r="E2" s="495" t="s">
        <v>581</v>
      </c>
      <c r="F2" s="689" t="s">
        <v>86</v>
      </c>
      <c r="G2" s="495" t="s">
        <v>87</v>
      </c>
      <c r="H2" s="495" t="s">
        <v>88</v>
      </c>
      <c r="I2" s="495" t="s">
        <v>89</v>
      </c>
      <c r="J2" s="495" t="s">
        <v>90</v>
      </c>
      <c r="K2" s="495" t="s">
        <v>91</v>
      </c>
      <c r="L2" s="496" t="s">
        <v>92</v>
      </c>
      <c r="M2" s="496" t="s">
        <v>93</v>
      </c>
      <c r="N2" s="495" t="s">
        <v>96</v>
      </c>
      <c r="O2" s="497" t="s">
        <v>97</v>
      </c>
      <c r="P2" s="497" t="s">
        <v>98</v>
      </c>
      <c r="Q2" s="494" t="s">
        <v>99</v>
      </c>
      <c r="R2" s="495" t="s">
        <v>100</v>
      </c>
      <c r="S2" s="498" t="s">
        <v>101</v>
      </c>
      <c r="T2" s="494" t="s">
        <v>102</v>
      </c>
      <c r="U2" s="495" t="s">
        <v>103</v>
      </c>
      <c r="V2" s="499" t="s">
        <v>104</v>
      </c>
      <c r="W2" s="500" t="s">
        <v>105</v>
      </c>
      <c r="X2" s="495" t="s">
        <v>103</v>
      </c>
      <c r="Y2" s="501" t="s">
        <v>106</v>
      </c>
      <c r="Z2" s="502" t="s">
        <v>107</v>
      </c>
      <c r="AA2" s="535"/>
      <c r="BB2" s="558" t="str">
        <f>+Perfiles!A2</f>
        <v xml:space="preserve">COORDINADOR  DE SOPORTE  FABRICAS </v>
      </c>
    </row>
    <row r="3" spans="1:54" s="484" customFormat="1" ht="15" x14ac:dyDescent="0.2">
      <c r="A3" s="562" t="s">
        <v>613</v>
      </c>
      <c r="B3" s="474" t="s">
        <v>752</v>
      </c>
      <c r="C3" s="475">
        <f>+VLOOKUP(A3,Perfiles!$A$2:$D$432,2,0)</f>
        <v>3812771.3971851855</v>
      </c>
      <c r="D3" s="713">
        <f>+VLOOKUP(A3,Perfiles!$A$2:$D$432,3,0)</f>
        <v>3812771.3971851855</v>
      </c>
      <c r="E3" s="451"/>
      <c r="F3" s="690">
        <f>'[1]Recursos Dependen del esfuerzo'!$Q$55/Horas_al_mes</f>
        <v>3.7</v>
      </c>
      <c r="G3" s="476">
        <v>1</v>
      </c>
      <c r="H3" s="477" t="s">
        <v>755</v>
      </c>
      <c r="I3" s="488">
        <v>1</v>
      </c>
      <c r="J3" s="489">
        <f t="shared" ref="J3:J4" si="0">F3*I3*G3</f>
        <v>3.7</v>
      </c>
      <c r="K3" s="489">
        <f t="shared" ref="K3:K4" si="1">+J3</f>
        <v>3.7</v>
      </c>
      <c r="L3" s="490">
        <f>Parametros!B$19*'Recursos Humanos'!K3*Parametros!$B$18</f>
        <v>39664000</v>
      </c>
      <c r="M3" s="491">
        <f t="shared" ref="M3:M5" si="2">ROUND(L3,0)</f>
        <v>39664000</v>
      </c>
      <c r="N3" s="503">
        <v>1</v>
      </c>
      <c r="O3" s="479">
        <f>IF(N3=1,D3*Parametros!$B$10, 0)+IF(N3=2,D3*Parametros!$B$11, 0)</f>
        <v>457532.56766222225</v>
      </c>
      <c r="P3" s="480">
        <f>IF(N3=1,D3*Parametros!$B$7,IF(N3=2,D3*Parametros!$B$8,IF(N3=3,(D3*Parametros!$B$9)+Parametros!$B$5,0)))+O3</f>
        <v>5900850.9039392406</v>
      </c>
      <c r="Q3" s="487">
        <f t="shared" ref="Q3:Q5" si="3">J3</f>
        <v>3.7</v>
      </c>
      <c r="R3" s="478">
        <f>P3*(1+Parametros!$B$2)</f>
        <v>6136884.9400968105</v>
      </c>
      <c r="S3" s="481">
        <f t="shared" ref="S3:S4" si="4">R3*Q3</f>
        <v>22706474.278358199</v>
      </c>
      <c r="T3" s="487">
        <f t="shared" ref="T3:T5" si="5">J3-Q3</f>
        <v>0</v>
      </c>
      <c r="U3" s="478">
        <f>R3*(1+Parametros!$B$3)</f>
        <v>6443729.187101651</v>
      </c>
      <c r="V3" s="482">
        <f t="shared" ref="V3:V4" si="6">U3*T3</f>
        <v>0</v>
      </c>
      <c r="W3" s="487">
        <v>0</v>
      </c>
      <c r="X3" s="478">
        <f>U3*(1+Parametros!$B$4)</f>
        <v>6765915.6464567343</v>
      </c>
      <c r="Y3" s="483">
        <f t="shared" ref="Y3:Y4" si="7">X3*W3</f>
        <v>0</v>
      </c>
      <c r="Z3" s="714" t="str">
        <f t="shared" ref="Z3:Z4" si="8">IF(Q3+T3+W3=0,"",IF(K3-Q3-T3-W3=0,"",CONCATENATE("Falta distribuir: ",K3-Q3-T3-W3)))</f>
        <v/>
      </c>
      <c r="AA3" s="536">
        <f>+S3</f>
        <v>22706474.278358199</v>
      </c>
      <c r="AB3" s="544">
        <f>+AA3/$AA$11</f>
        <v>0.11900794973104205</v>
      </c>
      <c r="BB3" s="558" t="str">
        <f>+Perfiles!A4</f>
        <v xml:space="preserve">COORDINADOR DE PROYECTO FABRICAS </v>
      </c>
    </row>
    <row r="4" spans="1:54" s="484" customFormat="1" ht="15" x14ac:dyDescent="0.2">
      <c r="A4" s="562" t="s">
        <v>613</v>
      </c>
      <c r="B4" s="474" t="s">
        <v>753</v>
      </c>
      <c r="C4" s="475">
        <f>+VLOOKUP(A4,Perfiles!$A$2:$D$432,2,0)</f>
        <v>3812771.3971851855</v>
      </c>
      <c r="D4" s="713">
        <f>+VLOOKUP(A4,Perfiles!$A$2:$D$432,3,0)</f>
        <v>3812771.3971851855</v>
      </c>
      <c r="E4" s="451"/>
      <c r="F4" s="690">
        <f>'[1]Recursos Dependen del esfuerzo'!$Q$48/Horas_al_mes/I4</f>
        <v>2.2500724999999999</v>
      </c>
      <c r="G4" s="476">
        <v>1</v>
      </c>
      <c r="H4" s="477" t="s">
        <v>108</v>
      </c>
      <c r="I4" s="488">
        <v>2</v>
      </c>
      <c r="J4" s="489">
        <f t="shared" si="0"/>
        <v>4.5001449999999998</v>
      </c>
      <c r="K4" s="489">
        <f t="shared" si="1"/>
        <v>4.5001449999999998</v>
      </c>
      <c r="L4" s="490">
        <f>Parametros!B$19*'Recursos Humanos'!K4*Parametros!$B$18</f>
        <v>48241554.399999991</v>
      </c>
      <c r="M4" s="491">
        <f t="shared" si="2"/>
        <v>48241554</v>
      </c>
      <c r="N4" s="503">
        <v>1</v>
      </c>
      <c r="O4" s="479">
        <f>IF(N4=1,D4*Parametros!$B$10, 0)+IF(N4=2,D4*Parametros!$B$11, 0)</f>
        <v>457532.56766222225</v>
      </c>
      <c r="P4" s="480">
        <f>IF(N4=1,D4*Parametros!$B$7,IF(N4=2,D4*Parametros!$B$8,IF(N4=3,(D4*Parametros!$B$9)+Parametros!$B$5,0)))+O4</f>
        <v>5900850.9039392406</v>
      </c>
      <c r="Q4" s="487">
        <f t="shared" si="3"/>
        <v>4.5001449999999998</v>
      </c>
      <c r="R4" s="478">
        <f>P4*(1+Parametros!$B$2)</f>
        <v>6136884.9400968105</v>
      </c>
      <c r="S4" s="481">
        <f t="shared" si="4"/>
        <v>27616872.078751959</v>
      </c>
      <c r="T4" s="487">
        <f t="shared" si="5"/>
        <v>0</v>
      </c>
      <c r="U4" s="478">
        <f>R4*(1+Parametros!$B$3)</f>
        <v>6443729.187101651</v>
      </c>
      <c r="V4" s="482">
        <f t="shared" si="6"/>
        <v>0</v>
      </c>
      <c r="W4" s="487">
        <v>0</v>
      </c>
      <c r="X4" s="478">
        <f>U4*(1+Parametros!$B$4)</f>
        <v>6765915.6464567343</v>
      </c>
      <c r="Y4" s="483">
        <f t="shared" si="7"/>
        <v>0</v>
      </c>
      <c r="Z4" s="486" t="str">
        <f t="shared" si="8"/>
        <v/>
      </c>
      <c r="AA4" s="536">
        <f t="shared" ref="AA4" si="9">+S4</f>
        <v>27616872.078751959</v>
      </c>
      <c r="AB4" s="544">
        <f>+AA4/$AA$11</f>
        <v>0.14474406214659463</v>
      </c>
      <c r="BB4" s="558" t="str">
        <f>+Perfiles!A5</f>
        <v xml:space="preserve">GERENTE DE PROYECTO BEGINNER FABRICAS </v>
      </c>
    </row>
    <row r="5" spans="1:54" s="484" customFormat="1" ht="15" x14ac:dyDescent="0.2">
      <c r="A5" s="562" t="s">
        <v>613</v>
      </c>
      <c r="B5" s="474" t="s">
        <v>754</v>
      </c>
      <c r="C5" s="475">
        <f>+VLOOKUP(A5,Perfiles!$A$2:$D$432,2,0)</f>
        <v>3812771.3971851855</v>
      </c>
      <c r="D5" s="713">
        <f>+VLOOKUP(A5,Perfiles!$A$2:$D$432,3,0)</f>
        <v>3812771.3971851855</v>
      </c>
      <c r="E5" s="451"/>
      <c r="F5" s="690">
        <f>'[1]Recursos Dependen del esfuerzo'!$Q$52/Horas_al_mes/I5</f>
        <v>2.8166883333333335</v>
      </c>
      <c r="G5" s="476">
        <v>1</v>
      </c>
      <c r="H5" s="477" t="s">
        <v>108</v>
      </c>
      <c r="I5" s="488">
        <v>3</v>
      </c>
      <c r="J5" s="489">
        <f t="shared" ref="J5:J10" si="10">F5*I5*G5</f>
        <v>8.4500650000000004</v>
      </c>
      <c r="K5" s="489">
        <f t="shared" ref="K5:K10" si="11">+J5</f>
        <v>8.4500650000000004</v>
      </c>
      <c r="L5" s="490">
        <f>Parametros!B$19*'Recursos Humanos'!K5*Parametros!$B$18</f>
        <v>90584696.799999997</v>
      </c>
      <c r="M5" s="491">
        <f t="shared" si="2"/>
        <v>90584697</v>
      </c>
      <c r="N5" s="503">
        <v>1</v>
      </c>
      <c r="O5" s="479">
        <f>IF(N5=1,D5*Parametros!$B$10, 0)+IF(N5=2,D5*Parametros!$B$11, 0)</f>
        <v>457532.56766222225</v>
      </c>
      <c r="P5" s="480">
        <f>IF(N5=1,D5*Parametros!$B$7,IF(N5=2,D5*Parametros!$B$8,IF(N5=3,(D5*Parametros!$B$9)+Parametros!$B$5,0)))+O5</f>
        <v>5900850.9039392406</v>
      </c>
      <c r="Q5" s="487">
        <f t="shared" si="3"/>
        <v>8.4500650000000004</v>
      </c>
      <c r="R5" s="478">
        <f>P5*(1+Parametros!$B$2)</f>
        <v>6136884.9400968105</v>
      </c>
      <c r="S5" s="481">
        <f t="shared" ref="S5:S10" si="12">R5*Q5</f>
        <v>51857076.641339161</v>
      </c>
      <c r="T5" s="487">
        <f t="shared" si="5"/>
        <v>0</v>
      </c>
      <c r="U5" s="478">
        <f>R5*(1+Parametros!$B$3)</f>
        <v>6443729.187101651</v>
      </c>
      <c r="V5" s="482">
        <f t="shared" ref="V5:V10" si="13">U5*T5</f>
        <v>0</v>
      </c>
      <c r="W5" s="487">
        <v>0</v>
      </c>
      <c r="X5" s="478">
        <f>U5*(1+Parametros!$B$4)</f>
        <v>6765915.6464567343</v>
      </c>
      <c r="Y5" s="483">
        <f t="shared" ref="Y5:Y10" si="14">X5*W5</f>
        <v>0</v>
      </c>
      <c r="Z5" s="486" t="str">
        <f t="shared" ref="Z5:Z10" si="15">IF(Q5+T5+W5=0,"",IF(K5-Q5-T5-W5=0,"",CONCATENATE("Falta distribuir: ",K5-Q5-T5-W5)))</f>
        <v/>
      </c>
      <c r="AA5" s="536">
        <f t="shared" ref="AA5:AA10" si="16">+S5</f>
        <v>51857076.641339161</v>
      </c>
      <c r="AB5" s="544">
        <f>+AA5/$AA$11</f>
        <v>0.27179051641730756</v>
      </c>
      <c r="BB5" s="558" t="str">
        <f>+Perfiles!A6</f>
        <v xml:space="preserve">INGENIERO DE DESARROLLO BEGINN FABRICAS </v>
      </c>
    </row>
    <row r="6" spans="1:54" s="484" customFormat="1" ht="15" x14ac:dyDescent="0.2">
      <c r="A6" s="562" t="s">
        <v>613</v>
      </c>
      <c r="B6" s="474" t="s">
        <v>307</v>
      </c>
      <c r="C6" s="713">
        <f>+VLOOKUP(A6,Perfiles!$A$2:$D$432,2,0)</f>
        <v>3812771.3971851855</v>
      </c>
      <c r="D6" s="713">
        <f>+VLOOKUP(A6,Perfiles!$A$2:$D$432,3,0)</f>
        <v>3812771.3971851855</v>
      </c>
      <c r="E6" s="451"/>
      <c r="F6" s="690">
        <f>('[1]Recursos Dependen del esfuerzo'!$Q$53+'[1]Recursos Dependen del esfuerzo'!$Q$54)/Horas_al_mes</f>
        <v>3.7</v>
      </c>
      <c r="G6" s="476">
        <v>1</v>
      </c>
      <c r="H6" s="477" t="s">
        <v>108</v>
      </c>
      <c r="I6" s="488">
        <v>1</v>
      </c>
      <c r="J6" s="489">
        <f t="shared" si="10"/>
        <v>3.7</v>
      </c>
      <c r="K6" s="489">
        <f t="shared" si="11"/>
        <v>3.7</v>
      </c>
      <c r="L6" s="490">
        <f>Parametros!B$19*'Recursos Humanos'!K6*Parametros!$B$18</f>
        <v>39664000</v>
      </c>
      <c r="M6" s="491">
        <f t="shared" ref="M6:M10" si="17">ROUND(L6,0)</f>
        <v>39664000</v>
      </c>
      <c r="N6" s="503">
        <v>1</v>
      </c>
      <c r="O6" s="479">
        <f>IF(N6=1,D6*Parametros!$B$10, 0)+IF(N6=2,D6*Parametros!$B$11, 0)</f>
        <v>457532.56766222225</v>
      </c>
      <c r="P6" s="480">
        <f>IF(N6=1,D6*Parametros!$B$7,IF(N6=2,D6*Parametros!$B$8,IF(N6=3,(D6*Parametros!$B$9)+Parametros!$B$5,0)))+O6</f>
        <v>5900850.9039392406</v>
      </c>
      <c r="Q6" s="487">
        <f t="shared" ref="Q6:Q10" si="18">J6</f>
        <v>3.7</v>
      </c>
      <c r="R6" s="478">
        <f>P6*(1+Parametros!$B$2)</f>
        <v>6136884.9400968105</v>
      </c>
      <c r="S6" s="481">
        <f t="shared" si="12"/>
        <v>22706474.278358199</v>
      </c>
      <c r="T6" s="487">
        <f t="shared" ref="T6:T10" si="19">J6-Q6</f>
        <v>0</v>
      </c>
      <c r="U6" s="478">
        <f>R6*(1+Parametros!$B$3)</f>
        <v>6443729.187101651</v>
      </c>
      <c r="V6" s="482">
        <f t="shared" si="13"/>
        <v>0</v>
      </c>
      <c r="W6" s="487">
        <v>0</v>
      </c>
      <c r="X6" s="478">
        <f>U6*(1+Parametros!$B$4)</f>
        <v>6765915.6464567343</v>
      </c>
      <c r="Y6" s="483">
        <f t="shared" si="14"/>
        <v>0</v>
      </c>
      <c r="Z6" s="486" t="str">
        <f t="shared" si="15"/>
        <v/>
      </c>
      <c r="AA6" s="536">
        <f t="shared" si="16"/>
        <v>22706474.278358199</v>
      </c>
      <c r="AB6" s="544">
        <f>+AA6/$AA$11</f>
        <v>0.11900794973104205</v>
      </c>
      <c r="BB6" s="558" t="str">
        <f>+Perfiles!A5</f>
        <v xml:space="preserve">GERENTE DE PROYECTO BEGINNER FABRICAS </v>
      </c>
    </row>
    <row r="7" spans="1:54" s="484" customFormat="1" ht="15" x14ac:dyDescent="0.2">
      <c r="A7" s="562" t="s">
        <v>613</v>
      </c>
      <c r="B7" s="474" t="s">
        <v>269</v>
      </c>
      <c r="C7" s="713">
        <f>+VLOOKUP(A7,Perfiles!$A$2:$D$432,2,0)</f>
        <v>3812771.3971851855</v>
      </c>
      <c r="D7" s="713">
        <f>+VLOOKUP(A7,Perfiles!$A$2:$D$432,3,0)</f>
        <v>3812771.3971851855</v>
      </c>
      <c r="E7" s="451"/>
      <c r="F7" s="690">
        <f>('[1]Recursos Dependen del esfuerzo'!$Q$49+'[1]Recursos Dependen del esfuerzo'!$Q$50)/Horas_al_mes/I7</f>
        <v>2.2250749999999999</v>
      </c>
      <c r="G7" s="476">
        <v>1</v>
      </c>
      <c r="H7" s="477" t="s">
        <v>755</v>
      </c>
      <c r="I7" s="488">
        <v>2</v>
      </c>
      <c r="J7" s="489">
        <f t="shared" ref="J7:J8" si="20">F7*I7*G7</f>
        <v>4.4501499999999998</v>
      </c>
      <c r="K7" s="489">
        <f t="shared" ref="K7:K8" si="21">+J7</f>
        <v>4.4501499999999998</v>
      </c>
      <c r="L7" s="490">
        <f>Parametros!B$19*'Recursos Humanos'!K7*Parametros!$B$18</f>
        <v>47705608</v>
      </c>
      <c r="M7" s="491">
        <f t="shared" ref="M7:M8" si="22">ROUND(L7,0)</f>
        <v>47705608</v>
      </c>
      <c r="N7" s="503">
        <v>1</v>
      </c>
      <c r="O7" s="479">
        <f>IF(N7=1,D7*Parametros!$B$10, 0)+IF(N7=2,D7*Parametros!$B$11, 0)</f>
        <v>457532.56766222225</v>
      </c>
      <c r="P7" s="480">
        <f>IF(N7=1,D7*Parametros!$B$7,IF(N7=2,D7*Parametros!$B$8,IF(N7=3,(D7*Parametros!$B$9)+Parametros!$B$5,0)))+O7</f>
        <v>5900850.9039392406</v>
      </c>
      <c r="Q7" s="487">
        <f t="shared" ref="Q7:Q8" si="23">J7</f>
        <v>4.4501499999999998</v>
      </c>
      <c r="R7" s="478">
        <f>P7*(1+Parametros!$B$2)</f>
        <v>6136884.9400968105</v>
      </c>
      <c r="S7" s="481">
        <f t="shared" ref="S7:S8" si="24">R7*Q7</f>
        <v>27310058.51617182</v>
      </c>
      <c r="T7" s="487">
        <f t="shared" ref="T7:T8" si="25">J7-Q7</f>
        <v>0</v>
      </c>
      <c r="U7" s="478">
        <f>R7*(1+Parametros!$B$3)</f>
        <v>6443729.187101651</v>
      </c>
      <c r="V7" s="482">
        <f t="shared" ref="V7:V8" si="26">U7*T7</f>
        <v>0</v>
      </c>
      <c r="W7" s="487">
        <v>0</v>
      </c>
      <c r="X7" s="478">
        <f>U7*(1+Parametros!$B$4)</f>
        <v>6765915.6464567343</v>
      </c>
      <c r="Y7" s="483">
        <f t="shared" ref="Y7:Y8" si="27">X7*W7</f>
        <v>0</v>
      </c>
      <c r="Z7" s="714" t="str">
        <f t="shared" ref="Z7:Z8" si="28">IF(Q7+T7+W7=0,"",IF(K7-Q7-T7-W7=0,"",CONCATENATE("Falta distribuir: ",K7-Q7-T7-W7)))</f>
        <v/>
      </c>
      <c r="AA7" s="536">
        <f t="shared" ref="AA7:AA8" si="29">+S7</f>
        <v>27310058.51617182</v>
      </c>
      <c r="AB7" s="544">
        <f>+AA7/$AA$11</f>
        <v>0.14313600743124236</v>
      </c>
      <c r="BB7" s="558" t="str">
        <f>+Perfiles!A4</f>
        <v xml:space="preserve">COORDINADOR DE PROYECTO FABRICAS </v>
      </c>
    </row>
    <row r="8" spans="1:54" s="484" customFormat="1" ht="15" x14ac:dyDescent="0.2">
      <c r="A8" s="562" t="s">
        <v>613</v>
      </c>
      <c r="B8" s="474" t="s">
        <v>575</v>
      </c>
      <c r="C8" s="713">
        <f>+VLOOKUP(A8,Perfiles!$A$2:$D$432,2,0)</f>
        <v>3812771.3971851855</v>
      </c>
      <c r="D8" s="713">
        <f>+VLOOKUP(A8,Perfiles!$A$2:$D$432,3,0)</f>
        <v>3812771.3971851855</v>
      </c>
      <c r="E8" s="451"/>
      <c r="F8" s="690">
        <f>'[1]Recursos Dependen del esfuerzo'!$Q$57/Horas_al_mes</f>
        <v>3.7</v>
      </c>
      <c r="G8" s="476">
        <v>1</v>
      </c>
      <c r="H8" s="477" t="s">
        <v>755</v>
      </c>
      <c r="I8" s="488">
        <v>1</v>
      </c>
      <c r="J8" s="489">
        <f t="shared" si="20"/>
        <v>3.7</v>
      </c>
      <c r="K8" s="489">
        <f t="shared" si="21"/>
        <v>3.7</v>
      </c>
      <c r="L8" s="490">
        <f>Parametros!B$19*'Recursos Humanos'!K8*Parametros!$B$18</f>
        <v>39664000</v>
      </c>
      <c r="M8" s="491">
        <f t="shared" si="22"/>
        <v>39664000</v>
      </c>
      <c r="N8" s="503">
        <v>1</v>
      </c>
      <c r="O8" s="479">
        <f>IF(N8=1,D8*Parametros!$B$10, 0)+IF(N8=2,D8*Parametros!$B$11, 0)</f>
        <v>457532.56766222225</v>
      </c>
      <c r="P8" s="480">
        <f>IF(N8=1,D8*Parametros!$B$7,IF(N8=2,D8*Parametros!$B$8,IF(N8=3,(D8*Parametros!$B$9)+Parametros!$B$5,0)))+O8</f>
        <v>5900850.9039392406</v>
      </c>
      <c r="Q8" s="487">
        <f t="shared" si="23"/>
        <v>3.7</v>
      </c>
      <c r="R8" s="478">
        <f>P8*(1+Parametros!$B$2)</f>
        <v>6136884.9400968105</v>
      </c>
      <c r="S8" s="481">
        <f t="shared" si="24"/>
        <v>22706474.278358199</v>
      </c>
      <c r="T8" s="487">
        <f t="shared" si="25"/>
        <v>0</v>
      </c>
      <c r="U8" s="478">
        <f>R8*(1+Parametros!$B$3)</f>
        <v>6443729.187101651</v>
      </c>
      <c r="V8" s="482">
        <f t="shared" si="26"/>
        <v>0</v>
      </c>
      <c r="W8" s="487">
        <v>0</v>
      </c>
      <c r="X8" s="478">
        <f>U8*(1+Parametros!$B$4)</f>
        <v>6765915.6464567343</v>
      </c>
      <c r="Y8" s="483">
        <f t="shared" si="27"/>
        <v>0</v>
      </c>
      <c r="Z8" s="714" t="str">
        <f t="shared" si="28"/>
        <v/>
      </c>
      <c r="AA8" s="536">
        <f t="shared" si="29"/>
        <v>22706474.278358199</v>
      </c>
      <c r="AB8" s="544">
        <f t="shared" ref="AB8" si="30">+AA8/$AA$11</f>
        <v>0.11900794973104205</v>
      </c>
      <c r="BB8" s="558" t="str">
        <f>+Perfiles!A4</f>
        <v xml:space="preserve">COORDINADOR DE PROYECTO FABRICAS </v>
      </c>
    </row>
    <row r="9" spans="1:54" s="484" customFormat="1" ht="15" x14ac:dyDescent="0.2">
      <c r="A9" s="562" t="s">
        <v>613</v>
      </c>
      <c r="B9" s="474" t="s">
        <v>579</v>
      </c>
      <c r="C9" s="713">
        <f>+VLOOKUP(A9,Perfiles!$A$2:$D$432,2,0)</f>
        <v>3812771.3971851855</v>
      </c>
      <c r="D9" s="713">
        <f>+VLOOKUP(A9,Perfiles!$A$2:$D$432,3,0)</f>
        <v>3812771.3971851855</v>
      </c>
      <c r="E9" s="451"/>
      <c r="F9" s="690">
        <f>'[1]Recursos Dependen del esfuerzo'!$Q$56/Horas_al_mes</f>
        <v>2.59</v>
      </c>
      <c r="G9" s="476">
        <v>1</v>
      </c>
      <c r="H9" s="477" t="s">
        <v>108</v>
      </c>
      <c r="I9" s="488">
        <v>1</v>
      </c>
      <c r="J9" s="489">
        <f t="shared" ref="J9" si="31">F9*I9*G9</f>
        <v>2.59</v>
      </c>
      <c r="K9" s="489">
        <f t="shared" ref="K9" si="32">+J9</f>
        <v>2.59</v>
      </c>
      <c r="L9" s="490">
        <f>Parametros!B$19*'Recursos Humanos'!K9*Parametros!$B$18</f>
        <v>27764800</v>
      </c>
      <c r="M9" s="491">
        <f t="shared" ref="M9" si="33">ROUND(L9,0)</f>
        <v>27764800</v>
      </c>
      <c r="N9" s="503">
        <v>1</v>
      </c>
      <c r="O9" s="479">
        <f>IF(N9=1,D9*Parametros!$B$10, 0)+IF(N9=2,D9*Parametros!$B$11, 0)</f>
        <v>457532.56766222225</v>
      </c>
      <c r="P9" s="480">
        <f>IF(N9=1,D9*Parametros!$B$7,IF(N9=2,D9*Parametros!$B$8,IF(N9=3,(D9*Parametros!$B$9)+Parametros!$B$5,0)))+O9</f>
        <v>5900850.9039392406</v>
      </c>
      <c r="Q9" s="487">
        <f t="shared" ref="Q9" si="34">J9</f>
        <v>2.59</v>
      </c>
      <c r="R9" s="478">
        <f>P9*(1+Parametros!$B$2)</f>
        <v>6136884.9400968105</v>
      </c>
      <c r="S9" s="481">
        <f t="shared" ref="S9" si="35">R9*Q9</f>
        <v>15894531.994850738</v>
      </c>
      <c r="T9" s="487">
        <f t="shared" ref="T9" si="36">J9-Q9</f>
        <v>0</v>
      </c>
      <c r="U9" s="478">
        <f>R9*(1+Parametros!$B$3)</f>
        <v>6443729.187101651</v>
      </c>
      <c r="V9" s="482">
        <f t="shared" ref="V9" si="37">U9*T9</f>
        <v>0</v>
      </c>
      <c r="W9" s="487">
        <v>0</v>
      </c>
      <c r="X9" s="478">
        <f>U9*(1+Parametros!$B$4)</f>
        <v>6765915.6464567343</v>
      </c>
      <c r="Y9" s="483">
        <f t="shared" ref="Y9" si="38">X9*W9</f>
        <v>0</v>
      </c>
      <c r="Z9" s="486" t="str">
        <f t="shared" ref="Z9" si="39">IF(Q9+T9+W9=0,"",IF(K9-Q9-T9-W9=0,"",CONCATENATE("Falta distribuir: ",K9-Q9-T9-W9)))</f>
        <v/>
      </c>
      <c r="AA9" s="536">
        <f t="shared" ref="AA9" si="40">+S9</f>
        <v>15894531.994850738</v>
      </c>
      <c r="AB9" s="544">
        <f>+AA9/$AA$11</f>
        <v>8.3305564811729432E-2</v>
      </c>
      <c r="BB9" s="558" t="str">
        <f>+Perfiles!A5</f>
        <v xml:space="preserve">GERENTE DE PROYECTO BEGINNER FABRICAS </v>
      </c>
    </row>
    <row r="10" spans="1:54" s="484" customFormat="1" ht="15.75" thickBot="1" x14ac:dyDescent="0.25">
      <c r="A10" s="562" t="s">
        <v>613</v>
      </c>
      <c r="B10" s="474"/>
      <c r="C10" s="713">
        <f>+VLOOKUP(A10,Perfiles!$A$2:$D$432,2,0)</f>
        <v>3812771.3971851855</v>
      </c>
      <c r="D10" s="713">
        <f>+VLOOKUP(A10,Perfiles!$A$2:$D$432,3,0)</f>
        <v>3812771.3971851855</v>
      </c>
      <c r="E10" s="451"/>
      <c r="F10" s="690">
        <v>0</v>
      </c>
      <c r="G10" s="476">
        <v>1</v>
      </c>
      <c r="H10" s="477" t="s">
        <v>108</v>
      </c>
      <c r="I10" s="488">
        <v>0</v>
      </c>
      <c r="J10" s="489">
        <f t="shared" si="10"/>
        <v>0</v>
      </c>
      <c r="K10" s="489">
        <f t="shared" si="11"/>
        <v>0</v>
      </c>
      <c r="L10" s="490">
        <f>Parametros!B$19*'Recursos Humanos'!K10*Parametros!$B$18</f>
        <v>0</v>
      </c>
      <c r="M10" s="491">
        <f t="shared" si="17"/>
        <v>0</v>
      </c>
      <c r="N10" s="503">
        <v>1</v>
      </c>
      <c r="O10" s="479">
        <f>IF(N10=1,D10*Parametros!$B$10, 0)+IF(N10=2,D10*Parametros!$B$11, 0)</f>
        <v>457532.56766222225</v>
      </c>
      <c r="P10" s="480">
        <f>IF(N10=1,D10*Parametros!$B$7,IF(N10=2,D10*Parametros!$B$8,IF(N10=3,(D10*Parametros!$B$9)+Parametros!$B$5,0)))+O10</f>
        <v>5900850.9039392406</v>
      </c>
      <c r="Q10" s="487">
        <f t="shared" si="18"/>
        <v>0</v>
      </c>
      <c r="R10" s="478">
        <f>P10*(1+Parametros!$B$2)</f>
        <v>6136884.9400968105</v>
      </c>
      <c r="S10" s="481">
        <f t="shared" si="12"/>
        <v>0</v>
      </c>
      <c r="T10" s="487">
        <f t="shared" si="19"/>
        <v>0</v>
      </c>
      <c r="U10" s="478">
        <f>R10*(1+Parametros!$B$3)</f>
        <v>6443729.187101651</v>
      </c>
      <c r="V10" s="482">
        <f t="shared" si="13"/>
        <v>0</v>
      </c>
      <c r="W10" s="487">
        <v>0</v>
      </c>
      <c r="X10" s="478">
        <f>U10*(1+Parametros!$B$4)</f>
        <v>6765915.6464567343</v>
      </c>
      <c r="Y10" s="483">
        <f t="shared" si="14"/>
        <v>0</v>
      </c>
      <c r="Z10" s="486" t="str">
        <f t="shared" si="15"/>
        <v/>
      </c>
      <c r="AA10" s="536">
        <f t="shared" si="16"/>
        <v>0</v>
      </c>
      <c r="AB10" s="544">
        <f>+AA10/$AA$11</f>
        <v>0</v>
      </c>
      <c r="BB10" s="558" t="str">
        <f>+Perfiles!A6</f>
        <v xml:space="preserve">INGENIERO DE DESARROLLO BEGINN FABRICAS </v>
      </c>
    </row>
    <row r="11" spans="1:54" s="15" customFormat="1" ht="13.5" thickBot="1" x14ac:dyDescent="0.25">
      <c r="A11" s="458" t="s">
        <v>110</v>
      </c>
      <c r="B11" s="457"/>
      <c r="C11" s="704"/>
      <c r="D11" s="27"/>
      <c r="E11" s="459"/>
      <c r="F11" s="691"/>
      <c r="G11" s="460"/>
      <c r="H11" s="460"/>
      <c r="I11" s="461">
        <f>SUM(I3:I10)</f>
        <v>11</v>
      </c>
      <c r="J11" s="462">
        <f>SUM(J3:J10)</f>
        <v>31.09036</v>
      </c>
      <c r="K11" s="463">
        <f>SUM(K3:K10)</f>
        <v>31.09036</v>
      </c>
      <c r="L11" s="492" t="s">
        <v>111</v>
      </c>
      <c r="M11" s="493">
        <f>SUM(M3:M10)</f>
        <v>333288659</v>
      </c>
      <c r="N11" s="461"/>
      <c r="O11" s="464"/>
      <c r="P11" s="464"/>
      <c r="Q11" s="465"/>
      <c r="R11" s="466"/>
      <c r="S11" s="467">
        <f>SUM(S3:S10)</f>
        <v>190797962.06618825</v>
      </c>
      <c r="T11" s="465"/>
      <c r="U11" s="466"/>
      <c r="V11" s="467">
        <f>SUM(V3:V10)</f>
        <v>0</v>
      </c>
      <c r="W11" s="468"/>
      <c r="X11" s="466"/>
      <c r="Y11" s="469">
        <f>SUM(Y3:Y4)</f>
        <v>0</v>
      </c>
      <c r="Z11" s="470"/>
      <c r="AA11" s="537">
        <f>SUM(AA3:AA10)</f>
        <v>190797962.06618825</v>
      </c>
      <c r="AB11" s="544">
        <f>SUM(AB3:AB10)</f>
        <v>1</v>
      </c>
      <c r="BB11" s="558" t="str">
        <f>+Perfiles!A16</f>
        <v xml:space="preserve">COORDINADOR DE DESARROLLO PROYECTOS </v>
      </c>
    </row>
    <row r="12" spans="1:54" s="35" customFormat="1" ht="13.35" customHeight="1" thickBot="1" x14ac:dyDescent="0.25">
      <c r="A12" s="447" t="s">
        <v>112</v>
      </c>
      <c r="B12" s="448"/>
      <c r="C12" s="448"/>
      <c r="D12" s="448"/>
      <c r="E12" s="448"/>
      <c r="F12" s="692"/>
      <c r="G12" s="448"/>
      <c r="H12" s="448"/>
      <c r="I12" s="449"/>
      <c r="J12" s="28">
        <f>SUMIF(H3:H10,"S",J3:J10)</f>
        <v>19.240210000000001</v>
      </c>
      <c r="K12" s="29"/>
      <c r="L12" s="29"/>
      <c r="M12" s="29"/>
      <c r="N12" s="29"/>
      <c r="O12" s="29"/>
      <c r="P12" s="29"/>
      <c r="Q12" s="30"/>
      <c r="R12" s="31"/>
      <c r="S12" s="30"/>
      <c r="T12" s="30"/>
      <c r="U12" s="32"/>
      <c r="V12" s="33"/>
      <c r="W12" s="34"/>
      <c r="Z12" s="36"/>
      <c r="AA12" s="538"/>
      <c r="BB12" s="558" t="str">
        <f>+Perfiles!A17</f>
        <v xml:space="preserve">COORDINADOR DE PROYECTO PROYECTOS </v>
      </c>
    </row>
    <row r="13" spans="1:54" ht="13.35" customHeight="1" thickBot="1" x14ac:dyDescent="0.25">
      <c r="A13" s="447" t="s">
        <v>113</v>
      </c>
      <c r="B13" s="448"/>
      <c r="C13" s="448"/>
      <c r="D13" s="448"/>
      <c r="E13" s="448"/>
      <c r="F13" s="692"/>
      <c r="G13" s="448"/>
      <c r="H13" s="448"/>
      <c r="I13" s="449"/>
      <c r="J13" s="37">
        <f>J11-J12</f>
        <v>11.850149999999999</v>
      </c>
      <c r="K13" s="38"/>
      <c r="L13" s="38"/>
      <c r="M13" s="38"/>
      <c r="N13" s="17"/>
      <c r="O13" s="17"/>
      <c r="P13" s="17"/>
      <c r="Q13" s="34"/>
      <c r="R13" s="39"/>
      <c r="S13" s="15"/>
      <c r="T13" s="34"/>
      <c r="U13" s="22"/>
      <c r="V13" s="40"/>
      <c r="W13" s="824" t="s">
        <v>114</v>
      </c>
      <c r="X13" s="824"/>
      <c r="Y13" s="41">
        <f>SUM(S11,V11,Y11)</f>
        <v>190797962.06618825</v>
      </c>
      <c r="BB13" s="558" t="str">
        <f>+Perfiles!A18</f>
        <v xml:space="preserve">GERENTE DE PROYECTO JUNIOR PROYECTOS </v>
      </c>
    </row>
    <row r="14" spans="1:54" s="49" customFormat="1" ht="13.35" customHeight="1" thickBot="1" x14ac:dyDescent="0.25">
      <c r="A14" s="817" t="s">
        <v>115</v>
      </c>
      <c r="B14" s="818"/>
      <c r="C14" s="472"/>
      <c r="D14" s="472"/>
      <c r="E14" s="472"/>
      <c r="F14" s="693"/>
      <c r="G14" s="472"/>
      <c r="H14" s="472"/>
      <c r="I14" s="472"/>
      <c r="J14" s="472"/>
      <c r="K14" s="473"/>
      <c r="L14" s="42" t="s">
        <v>111</v>
      </c>
      <c r="M14" s="43">
        <f>Y13*(1+multiplicador)</f>
        <v>395399393.49601698</v>
      </c>
      <c r="N14" s="44"/>
      <c r="O14" s="44"/>
      <c r="P14" s="44"/>
      <c r="Q14" s="45"/>
      <c r="R14" s="44"/>
      <c r="S14" s="46"/>
      <c r="T14" s="45"/>
      <c r="U14" s="47"/>
      <c r="V14" s="48"/>
      <c r="W14" s="823"/>
      <c r="X14" s="823"/>
      <c r="Y14" s="823"/>
      <c r="Z14" s="823"/>
      <c r="AA14" s="539"/>
      <c r="BB14" s="558" t="str">
        <f>+Perfiles!A19</f>
        <v xml:space="preserve">GERENTE DE PROYECTO SENIOR PROYECTOS </v>
      </c>
    </row>
    <row r="15" spans="1:54" x14ac:dyDescent="0.2">
      <c r="K15" s="703"/>
      <c r="L15" s="703"/>
      <c r="M15" s="703"/>
      <c r="N15" s="703"/>
      <c r="O15" s="703"/>
      <c r="BB15" s="558" t="str">
        <f>+Perfiles!A20</f>
        <v xml:space="preserve">GERENTE QA PROYECTOS </v>
      </c>
    </row>
    <row r="16" spans="1:54" x14ac:dyDescent="0.2">
      <c r="C16" s="14" t="s">
        <v>0</v>
      </c>
      <c r="K16" s="703"/>
      <c r="L16" s="703"/>
      <c r="M16" s="703"/>
      <c r="N16" s="703"/>
      <c r="O16" s="703"/>
      <c r="BB16" s="558" t="str">
        <f>+Perfiles!A21</f>
        <v xml:space="preserve">INGENIERO DE DESARROLLO JUNIOR PROYECTOS </v>
      </c>
    </row>
    <row r="17" spans="1:54" x14ac:dyDescent="0.2">
      <c r="B17" s="14" t="s">
        <v>0</v>
      </c>
      <c r="K17" s="739"/>
      <c r="L17" s="703"/>
      <c r="M17" s="703"/>
      <c r="N17" s="703"/>
      <c r="O17" s="703"/>
      <c r="BB17" s="558" t="str">
        <f>+Perfiles!A22</f>
        <v xml:space="preserve">INGENIERO DE DESARROLLO SENIOR PROYECTOS </v>
      </c>
    </row>
    <row r="18" spans="1:54" x14ac:dyDescent="0.2">
      <c r="C18" s="14" t="s">
        <v>0</v>
      </c>
      <c r="K18" s="703"/>
      <c r="L18" s="703"/>
      <c r="M18" s="703"/>
      <c r="N18" s="703"/>
      <c r="O18" s="703"/>
      <c r="BB18" s="558" t="str">
        <f>+Perfiles!A23</f>
        <v xml:space="preserve">INGENIERO SOPORTE JUNIOR PROYECTOS </v>
      </c>
    </row>
    <row r="19" spans="1:54" x14ac:dyDescent="0.2">
      <c r="M19" s="534"/>
      <c r="BB19" s="558" t="str">
        <f>+Perfiles!A24</f>
        <v xml:space="preserve">INGENIERO SOPORTE SENIOR PROYECTOS </v>
      </c>
    </row>
    <row r="20" spans="1:54" x14ac:dyDescent="0.2">
      <c r="BB20" s="558" t="str">
        <f>+Perfiles!A25</f>
        <v xml:space="preserve">ADMINISTRADOR BASE DE DATOS SOL. FINANCIERAS </v>
      </c>
    </row>
    <row r="21" spans="1:54" x14ac:dyDescent="0.2">
      <c r="A21" s="14" t="s">
        <v>0</v>
      </c>
      <c r="BB21" s="558" t="str">
        <f>+Perfiles!A26</f>
        <v xml:space="preserve">ANALISTA FUNCIONAL SOL. FINANCIERAS </v>
      </c>
    </row>
    <row r="22" spans="1:54" x14ac:dyDescent="0.2">
      <c r="BB22" s="558" t="str">
        <f>+Perfiles!A27</f>
        <v xml:space="preserve">ARQUITECTO JUNIOR SOL. FINANCIERAS </v>
      </c>
    </row>
    <row r="23" spans="1:54" x14ac:dyDescent="0.2">
      <c r="BB23" s="558" t="str">
        <f>+Perfiles!A28</f>
        <v xml:space="preserve">ARQUITECTO SENIOR SOL. FINANCIERAS </v>
      </c>
    </row>
    <row r="24" spans="1:54" x14ac:dyDescent="0.2">
      <c r="BB24" s="558" t="str">
        <f>+Perfiles!A29</f>
        <v xml:space="preserve">COORDINADOR  DE SOPORTE SOL. FINANCIERAS </v>
      </c>
    </row>
    <row r="25" spans="1:54" x14ac:dyDescent="0.2">
      <c r="BB25" s="558" t="str">
        <f>+Perfiles!A30</f>
        <v xml:space="preserve">COORDINADOR DE DESARROLLO SOL. FINANCIERAS </v>
      </c>
    </row>
    <row r="26" spans="1:54" ht="25.5" x14ac:dyDescent="0.2">
      <c r="B26" s="749" t="s">
        <v>765</v>
      </c>
      <c r="C26" s="750" t="s">
        <v>767</v>
      </c>
      <c r="D26" s="749" t="s">
        <v>766</v>
      </c>
      <c r="E26" s="694"/>
      <c r="F26" s="14"/>
      <c r="Z26" s="534"/>
      <c r="AA26" s="14"/>
      <c r="BA26" s="558" t="str">
        <f>+Perfiles!A31</f>
        <v xml:space="preserve">COORDINADOR DE PROYECTO SOL. FINANCIERAS </v>
      </c>
      <c r="BB26" s="14"/>
    </row>
    <row r="27" spans="1:54" x14ac:dyDescent="0.2">
      <c r="B27" s="751" t="str">
        <f t="shared" ref="B27:B33" si="41">B3</f>
        <v>Gerencia</v>
      </c>
      <c r="C27" s="752">
        <f t="shared" ref="C27:C33" si="42">F3</f>
        <v>3.7</v>
      </c>
      <c r="D27" s="753">
        <f t="shared" ref="D27:D33" si="43">I3</f>
        <v>1</v>
      </c>
      <c r="E27" s="694"/>
      <c r="F27" s="14"/>
      <c r="Z27" s="534"/>
      <c r="AA27" s="14"/>
      <c r="BA27" s="558" t="str">
        <f>+Perfiles!A32</f>
        <v xml:space="preserve">GERENTE DE PROYECTO JUNIOR SOL. FINANCIERAS </v>
      </c>
      <c r="BB27" s="14"/>
    </row>
    <row r="28" spans="1:54" x14ac:dyDescent="0.2">
      <c r="B28" s="751" t="str">
        <f t="shared" si="41"/>
        <v>Ingeniería</v>
      </c>
      <c r="C28" s="752">
        <f t="shared" si="42"/>
        <v>2.2500724999999999</v>
      </c>
      <c r="D28" s="753">
        <f t="shared" si="43"/>
        <v>2</v>
      </c>
      <c r="E28" s="694"/>
      <c r="F28" s="14"/>
      <c r="Z28" s="534"/>
      <c r="AA28" s="14"/>
      <c r="BA28" s="558" t="str">
        <f>+Perfiles!A33</f>
        <v xml:space="preserve">GERENTE DE PROYECTO SENIOR SOL. FINANCIERAS </v>
      </c>
      <c r="BB28" s="14"/>
    </row>
    <row r="29" spans="1:54" x14ac:dyDescent="0.2">
      <c r="B29" s="751" t="str">
        <f t="shared" si="41"/>
        <v>Desarrollo</v>
      </c>
      <c r="C29" s="752">
        <f t="shared" si="42"/>
        <v>2.8166883333333335</v>
      </c>
      <c r="D29" s="753">
        <f t="shared" si="43"/>
        <v>3</v>
      </c>
      <c r="E29" s="694"/>
      <c r="F29" s="14"/>
      <c r="Z29" s="534"/>
      <c r="AA29" s="14"/>
      <c r="BA29" s="558" t="str">
        <f>+Perfiles!A34</f>
        <v xml:space="preserve">INGENIERO DE DESARROLLO JUNIOR SOL. FINANCIERAS </v>
      </c>
      <c r="BB29" s="14"/>
    </row>
    <row r="30" spans="1:54" x14ac:dyDescent="0.2">
      <c r="B30" s="751" t="str">
        <f t="shared" si="41"/>
        <v>Arquitecto</v>
      </c>
      <c r="C30" s="752">
        <f t="shared" si="42"/>
        <v>3.7</v>
      </c>
      <c r="D30" s="753">
        <f t="shared" si="43"/>
        <v>1</v>
      </c>
      <c r="E30" s="694"/>
      <c r="F30" s="14"/>
      <c r="Z30" s="534"/>
      <c r="AA30" s="14"/>
      <c r="BA30" s="558" t="str">
        <f>+Perfiles!A35</f>
        <v xml:space="preserve">INGENIERO DE DESARROLLO SENIOR SOL. FINANCIERAS </v>
      </c>
      <c r="BB30" s="14"/>
    </row>
    <row r="31" spans="1:54" x14ac:dyDescent="0.2">
      <c r="B31" s="751" t="str">
        <f t="shared" si="41"/>
        <v>Calidad</v>
      </c>
      <c r="C31" s="752">
        <f t="shared" si="42"/>
        <v>2.2250749999999999</v>
      </c>
      <c r="D31" s="753">
        <f t="shared" si="43"/>
        <v>2</v>
      </c>
      <c r="E31" s="694"/>
      <c r="F31" s="14"/>
      <c r="Z31" s="534"/>
      <c r="AA31" s="14"/>
      <c r="BA31" s="558" t="str">
        <f>+Perfiles!A36</f>
        <v xml:space="preserve">INGENIERO SOPORTE JUNIOR SOL. FINANCIERAS </v>
      </c>
      <c r="BB31" s="14"/>
    </row>
    <row r="32" spans="1:54" x14ac:dyDescent="0.2">
      <c r="B32" s="751" t="str">
        <f t="shared" si="41"/>
        <v>Garantia</v>
      </c>
      <c r="C32" s="752">
        <f t="shared" si="42"/>
        <v>3.7</v>
      </c>
      <c r="D32" s="753">
        <f t="shared" si="43"/>
        <v>1</v>
      </c>
      <c r="E32" s="694"/>
      <c r="F32" s="14"/>
      <c r="Z32" s="534"/>
      <c r="AA32" s="14"/>
      <c r="BA32" s="558" t="str">
        <f>+Perfiles!A37</f>
        <v xml:space="preserve">INGENIERO SOPORTE SENIOR SOL. FINANCIERAS </v>
      </c>
      <c r="BB32" s="14"/>
    </row>
    <row r="33" spans="2:54" x14ac:dyDescent="0.2">
      <c r="B33" s="751" t="str">
        <f t="shared" si="41"/>
        <v>Otros</v>
      </c>
      <c r="C33" s="752">
        <f t="shared" si="42"/>
        <v>2.59</v>
      </c>
      <c r="D33" s="753">
        <f t="shared" si="43"/>
        <v>1</v>
      </c>
      <c r="F33" s="14"/>
      <c r="AA33" s="14"/>
      <c r="BA33" s="558"/>
      <c r="BB33" s="14"/>
    </row>
    <row r="34" spans="2:54" x14ac:dyDescent="0.2">
      <c r="B34" s="138"/>
      <c r="C34" s="138"/>
      <c r="D34" s="138"/>
      <c r="F34" s="14"/>
      <c r="AA34" s="14"/>
      <c r="BB34" s="558"/>
    </row>
    <row r="35" spans="2:54" ht="25.5" x14ac:dyDescent="0.2">
      <c r="B35" s="754" t="s">
        <v>768</v>
      </c>
      <c r="C35" s="816">
        <f>S11</f>
        <v>190797962.06618825</v>
      </c>
      <c r="D35" s="816"/>
      <c r="F35" s="14"/>
      <c r="AA35" s="14"/>
      <c r="BB35" s="558"/>
    </row>
    <row r="36" spans="2:54" x14ac:dyDescent="0.2">
      <c r="F36" s="14"/>
      <c r="AA36" s="14"/>
      <c r="BB36" s="558"/>
    </row>
    <row r="37" spans="2:54" x14ac:dyDescent="0.2">
      <c r="F37" s="14"/>
      <c r="AA37" s="14"/>
      <c r="BB37" s="558"/>
    </row>
    <row r="38" spans="2:54" x14ac:dyDescent="0.2">
      <c r="F38" s="14"/>
      <c r="AA38" s="14"/>
      <c r="BB38" s="558"/>
    </row>
    <row r="39" spans="2:54" x14ac:dyDescent="0.2">
      <c r="F39" s="14"/>
      <c r="AA39" s="14"/>
      <c r="BB39" s="558"/>
    </row>
    <row r="40" spans="2:54" x14ac:dyDescent="0.2">
      <c r="F40" s="14"/>
      <c r="AA40" s="14"/>
      <c r="BB40" s="558"/>
    </row>
    <row r="41" spans="2:54" x14ac:dyDescent="0.2">
      <c r="F41" s="14"/>
      <c r="AA41" s="14"/>
      <c r="BB41" s="558"/>
    </row>
    <row r="42" spans="2:54" x14ac:dyDescent="0.2">
      <c r="F42" s="14"/>
      <c r="AA42" s="14"/>
      <c r="BB42" s="558"/>
    </row>
    <row r="43" spans="2:54" x14ac:dyDescent="0.2">
      <c r="F43" s="14"/>
      <c r="AA43" s="14"/>
      <c r="BB43" s="558"/>
    </row>
    <row r="44" spans="2:54" x14ac:dyDescent="0.2">
      <c r="F44" s="14"/>
      <c r="AA44" s="14"/>
      <c r="BB44" s="558"/>
    </row>
    <row r="45" spans="2:54" x14ac:dyDescent="0.2">
      <c r="F45" s="14"/>
      <c r="AA45" s="14"/>
      <c r="BB45" s="558"/>
    </row>
    <row r="46" spans="2:54" x14ac:dyDescent="0.2">
      <c r="F46" s="14"/>
      <c r="AA46" s="14"/>
      <c r="BB46" s="558"/>
    </row>
    <row r="47" spans="2:54" x14ac:dyDescent="0.2">
      <c r="F47" s="14"/>
      <c r="AA47" s="14"/>
      <c r="BB47" s="558"/>
    </row>
    <row r="48" spans="2:54" x14ac:dyDescent="0.2">
      <c r="F48" s="14"/>
      <c r="AA48" s="14"/>
      <c r="BB48" s="558"/>
    </row>
    <row r="49" spans="54:54" s="14" customFormat="1" x14ac:dyDescent="0.2">
      <c r="BB49" s="558"/>
    </row>
    <row r="50" spans="54:54" s="14" customFormat="1" x14ac:dyDescent="0.2">
      <c r="BB50" s="558"/>
    </row>
    <row r="51" spans="54:54" s="14" customFormat="1" x14ac:dyDescent="0.2">
      <c r="BB51" s="558"/>
    </row>
    <row r="52" spans="54:54" s="14" customFormat="1" x14ac:dyDescent="0.2">
      <c r="BB52" s="558"/>
    </row>
    <row r="53" spans="54:54" s="14" customFormat="1" x14ac:dyDescent="0.2">
      <c r="BB53" s="558"/>
    </row>
    <row r="54" spans="54:54" s="14" customFormat="1" x14ac:dyDescent="0.2">
      <c r="BB54" s="558"/>
    </row>
    <row r="55" spans="54:54" s="14" customFormat="1" x14ac:dyDescent="0.2">
      <c r="BB55" s="558"/>
    </row>
    <row r="56" spans="54:54" s="14" customFormat="1" x14ac:dyDescent="0.2">
      <c r="BB56" s="558"/>
    </row>
    <row r="57" spans="54:54" s="14" customFormat="1" x14ac:dyDescent="0.2">
      <c r="BB57" s="558"/>
    </row>
    <row r="58" spans="54:54" s="14" customFormat="1" x14ac:dyDescent="0.2">
      <c r="BB58" s="558"/>
    </row>
    <row r="59" spans="54:54" s="14" customFormat="1" x14ac:dyDescent="0.2">
      <c r="BB59" s="558"/>
    </row>
    <row r="60" spans="54:54" s="14" customFormat="1" x14ac:dyDescent="0.2">
      <c r="BB60" s="558"/>
    </row>
    <row r="61" spans="54:54" s="14" customFormat="1" x14ac:dyDescent="0.2">
      <c r="BB61" s="558"/>
    </row>
    <row r="62" spans="54:54" s="14" customFormat="1" x14ac:dyDescent="0.2">
      <c r="BB62" s="558"/>
    </row>
    <row r="63" spans="54:54" s="14" customFormat="1" x14ac:dyDescent="0.2">
      <c r="BB63" s="558"/>
    </row>
    <row r="64" spans="54:54" s="14" customFormat="1" x14ac:dyDescent="0.2">
      <c r="BB64" s="558"/>
    </row>
    <row r="65" spans="54:54" s="14" customFormat="1" x14ac:dyDescent="0.2">
      <c r="BB65" s="558"/>
    </row>
    <row r="66" spans="54:54" s="14" customFormat="1" x14ac:dyDescent="0.2">
      <c r="BB66" s="558"/>
    </row>
    <row r="67" spans="54:54" s="14" customFormat="1" x14ac:dyDescent="0.2">
      <c r="BB67" s="558"/>
    </row>
    <row r="68" spans="54:54" s="14" customFormat="1" x14ac:dyDescent="0.2">
      <c r="BB68" s="558"/>
    </row>
    <row r="69" spans="54:54" s="14" customFormat="1" x14ac:dyDescent="0.2">
      <c r="BB69" s="558"/>
    </row>
    <row r="70" spans="54:54" s="14" customFormat="1" x14ac:dyDescent="0.2">
      <c r="BB70" s="558"/>
    </row>
    <row r="71" spans="54:54" s="14" customFormat="1" x14ac:dyDescent="0.2">
      <c r="BB71" s="558"/>
    </row>
    <row r="72" spans="54:54" s="14" customFormat="1" x14ac:dyDescent="0.2">
      <c r="BB72" s="558"/>
    </row>
    <row r="73" spans="54:54" s="14" customFormat="1" x14ac:dyDescent="0.2">
      <c r="BB73" s="558"/>
    </row>
    <row r="74" spans="54:54" s="14" customFormat="1" x14ac:dyDescent="0.2">
      <c r="BB74" s="558"/>
    </row>
    <row r="75" spans="54:54" s="14" customFormat="1" x14ac:dyDescent="0.2">
      <c r="BB75" s="558"/>
    </row>
    <row r="76" spans="54:54" s="14" customFormat="1" x14ac:dyDescent="0.2">
      <c r="BB76" s="558"/>
    </row>
    <row r="77" spans="54:54" s="14" customFormat="1" x14ac:dyDescent="0.2">
      <c r="BB77" s="558"/>
    </row>
    <row r="78" spans="54:54" s="14" customFormat="1" x14ac:dyDescent="0.2">
      <c r="BB78" s="558"/>
    </row>
    <row r="79" spans="54:54" s="14" customFormat="1" x14ac:dyDescent="0.2">
      <c r="BB79" s="558"/>
    </row>
    <row r="80" spans="54:54" s="14" customFormat="1" x14ac:dyDescent="0.2">
      <c r="BB80" s="558"/>
    </row>
    <row r="81" spans="54:54" s="14" customFormat="1" x14ac:dyDescent="0.2">
      <c r="BB81" s="558"/>
    </row>
    <row r="82" spans="54:54" s="14" customFormat="1" x14ac:dyDescent="0.2">
      <c r="BB82" s="558"/>
    </row>
    <row r="83" spans="54:54" s="14" customFormat="1" x14ac:dyDescent="0.2">
      <c r="BB83" s="558"/>
    </row>
    <row r="84" spans="54:54" s="14" customFormat="1" x14ac:dyDescent="0.2">
      <c r="BB84" s="558"/>
    </row>
    <row r="85" spans="54:54" s="14" customFormat="1" x14ac:dyDescent="0.2">
      <c r="BB85" s="558"/>
    </row>
    <row r="86" spans="54:54" s="14" customFormat="1" x14ac:dyDescent="0.2">
      <c r="BB86" s="558"/>
    </row>
    <row r="87" spans="54:54" s="14" customFormat="1" x14ac:dyDescent="0.2">
      <c r="BB87" s="558"/>
    </row>
    <row r="88" spans="54:54" s="14" customFormat="1" x14ac:dyDescent="0.2">
      <c r="BB88" s="558"/>
    </row>
    <row r="89" spans="54:54" s="14" customFormat="1" x14ac:dyDescent="0.2">
      <c r="BB89" s="558"/>
    </row>
    <row r="90" spans="54:54" s="14" customFormat="1" x14ac:dyDescent="0.2">
      <c r="BB90" s="558"/>
    </row>
    <row r="91" spans="54:54" s="14" customFormat="1" x14ac:dyDescent="0.2">
      <c r="BB91" s="558"/>
    </row>
    <row r="92" spans="54:54" s="14" customFormat="1" x14ac:dyDescent="0.2">
      <c r="BB92" s="558"/>
    </row>
    <row r="93" spans="54:54" s="14" customFormat="1" x14ac:dyDescent="0.2">
      <c r="BB93" s="558"/>
    </row>
    <row r="94" spans="54:54" s="14" customFormat="1" x14ac:dyDescent="0.2">
      <c r="BB94" s="558"/>
    </row>
    <row r="95" spans="54:54" s="14" customFormat="1" x14ac:dyDescent="0.2">
      <c r="BB95" s="558"/>
    </row>
    <row r="96" spans="54:54" s="14" customFormat="1" x14ac:dyDescent="0.2">
      <c r="BB96" s="558"/>
    </row>
    <row r="97" spans="54:54" s="14" customFormat="1" x14ac:dyDescent="0.2">
      <c r="BB97" s="558"/>
    </row>
    <row r="98" spans="54:54" s="14" customFormat="1" x14ac:dyDescent="0.2">
      <c r="BB98" s="558"/>
    </row>
    <row r="99" spans="54:54" s="14" customFormat="1" x14ac:dyDescent="0.2">
      <c r="BB99" s="558"/>
    </row>
    <row r="100" spans="54:54" s="14" customFormat="1" x14ac:dyDescent="0.2">
      <c r="BB100" s="558"/>
    </row>
    <row r="101" spans="54:54" s="14" customFormat="1" x14ac:dyDescent="0.2">
      <c r="BB101" s="558"/>
    </row>
    <row r="102" spans="54:54" s="14" customFormat="1" x14ac:dyDescent="0.2">
      <c r="BB102" s="558"/>
    </row>
    <row r="103" spans="54:54" s="14" customFormat="1" x14ac:dyDescent="0.2">
      <c r="BB103" s="558"/>
    </row>
    <row r="104" spans="54:54" s="14" customFormat="1" x14ac:dyDescent="0.2">
      <c r="BB104" s="558"/>
    </row>
    <row r="105" spans="54:54" s="14" customFormat="1" x14ac:dyDescent="0.2">
      <c r="BB105" s="558"/>
    </row>
    <row r="106" spans="54:54" s="14" customFormat="1" x14ac:dyDescent="0.2">
      <c r="BB106" s="558"/>
    </row>
    <row r="107" spans="54:54" s="14" customFormat="1" x14ac:dyDescent="0.2">
      <c r="BB107" s="558"/>
    </row>
    <row r="108" spans="54:54" s="14" customFormat="1" x14ac:dyDescent="0.2">
      <c r="BB108" s="558"/>
    </row>
    <row r="109" spans="54:54" s="14" customFormat="1" x14ac:dyDescent="0.2">
      <c r="BB109" s="558"/>
    </row>
    <row r="110" spans="54:54" s="14" customFormat="1" x14ac:dyDescent="0.2">
      <c r="BB110" s="558"/>
    </row>
    <row r="111" spans="54:54" s="14" customFormat="1" x14ac:dyDescent="0.2">
      <c r="BB111" s="558"/>
    </row>
    <row r="112" spans="54:54" s="14" customFormat="1" x14ac:dyDescent="0.2">
      <c r="BB112" s="558"/>
    </row>
    <row r="113" spans="54:54" s="14" customFormat="1" x14ac:dyDescent="0.2">
      <c r="BB113" s="558"/>
    </row>
    <row r="114" spans="54:54" s="14" customFormat="1" x14ac:dyDescent="0.2">
      <c r="BB114" s="558"/>
    </row>
    <row r="115" spans="54:54" s="14" customFormat="1" x14ac:dyDescent="0.2">
      <c r="BB115" s="558"/>
    </row>
    <row r="116" spans="54:54" s="14" customFormat="1" x14ac:dyDescent="0.2">
      <c r="BB116" s="558"/>
    </row>
    <row r="117" spans="54:54" s="14" customFormat="1" x14ac:dyDescent="0.2">
      <c r="BB117" s="558"/>
    </row>
    <row r="118" spans="54:54" s="14" customFormat="1" x14ac:dyDescent="0.2">
      <c r="BB118" s="558"/>
    </row>
    <row r="119" spans="54:54" s="14" customFormat="1" x14ac:dyDescent="0.2">
      <c r="BB119" s="558"/>
    </row>
    <row r="120" spans="54:54" s="14" customFormat="1" x14ac:dyDescent="0.2">
      <c r="BB120" s="558"/>
    </row>
    <row r="121" spans="54:54" s="14" customFormat="1" x14ac:dyDescent="0.2">
      <c r="BB121" s="558"/>
    </row>
    <row r="122" spans="54:54" s="14" customFormat="1" x14ac:dyDescent="0.2">
      <c r="BB122" s="558"/>
    </row>
    <row r="123" spans="54:54" s="14" customFormat="1" x14ac:dyDescent="0.2">
      <c r="BB123" s="558"/>
    </row>
    <row r="124" spans="54:54" s="14" customFormat="1" x14ac:dyDescent="0.2">
      <c r="BB124" s="558"/>
    </row>
    <row r="125" spans="54:54" s="14" customFormat="1" x14ac:dyDescent="0.2">
      <c r="BB125" s="558"/>
    </row>
    <row r="126" spans="54:54" s="14" customFormat="1" x14ac:dyDescent="0.2">
      <c r="BB126" s="558"/>
    </row>
    <row r="127" spans="54:54" s="14" customFormat="1" x14ac:dyDescent="0.2">
      <c r="BB127" s="558"/>
    </row>
    <row r="128" spans="54:54" s="14" customFormat="1" x14ac:dyDescent="0.2">
      <c r="BB128" s="558"/>
    </row>
    <row r="129" spans="54:54" s="14" customFormat="1" x14ac:dyDescent="0.2">
      <c r="BB129" s="558"/>
    </row>
    <row r="130" spans="54:54" s="14" customFormat="1" x14ac:dyDescent="0.2">
      <c r="BB130" s="558"/>
    </row>
    <row r="131" spans="54:54" s="14" customFormat="1" x14ac:dyDescent="0.2">
      <c r="BB131" s="558"/>
    </row>
    <row r="132" spans="54:54" s="14" customFormat="1" x14ac:dyDescent="0.2">
      <c r="BB132" s="558"/>
    </row>
    <row r="133" spans="54:54" s="14" customFormat="1" x14ac:dyDescent="0.2">
      <c r="BB133" s="558"/>
    </row>
    <row r="134" spans="54:54" s="14" customFormat="1" x14ac:dyDescent="0.2">
      <c r="BB134" s="558"/>
    </row>
    <row r="135" spans="54:54" s="14" customFormat="1" x14ac:dyDescent="0.2">
      <c r="BB135" s="558"/>
    </row>
    <row r="136" spans="54:54" s="14" customFormat="1" x14ac:dyDescent="0.2">
      <c r="BB136" s="558"/>
    </row>
    <row r="137" spans="54:54" s="14" customFormat="1" x14ac:dyDescent="0.2">
      <c r="BB137" s="558"/>
    </row>
    <row r="138" spans="54:54" s="14" customFormat="1" x14ac:dyDescent="0.2">
      <c r="BB138" s="558"/>
    </row>
    <row r="139" spans="54:54" s="14" customFormat="1" x14ac:dyDescent="0.2">
      <c r="BB139" s="558"/>
    </row>
    <row r="140" spans="54:54" s="14" customFormat="1" x14ac:dyDescent="0.2">
      <c r="BB140" s="558"/>
    </row>
    <row r="141" spans="54:54" s="14" customFormat="1" x14ac:dyDescent="0.2">
      <c r="BB141" s="558"/>
    </row>
    <row r="142" spans="54:54" s="14" customFormat="1" x14ac:dyDescent="0.2">
      <c r="BB142" s="558"/>
    </row>
    <row r="143" spans="54:54" s="14" customFormat="1" x14ac:dyDescent="0.2">
      <c r="BB143" s="558"/>
    </row>
    <row r="144" spans="54:54" s="14" customFormat="1" x14ac:dyDescent="0.2">
      <c r="BB144" s="558"/>
    </row>
    <row r="145" spans="54:54" s="14" customFormat="1" x14ac:dyDescent="0.2">
      <c r="BB145" s="558"/>
    </row>
    <row r="146" spans="54:54" s="14" customFormat="1" x14ac:dyDescent="0.2">
      <c r="BB146" s="558"/>
    </row>
    <row r="147" spans="54:54" s="14" customFormat="1" x14ac:dyDescent="0.2">
      <c r="BB147" s="558"/>
    </row>
    <row r="148" spans="54:54" s="14" customFormat="1" x14ac:dyDescent="0.2">
      <c r="BB148" s="558"/>
    </row>
    <row r="149" spans="54:54" s="14" customFormat="1" x14ac:dyDescent="0.2">
      <c r="BB149" s="558"/>
    </row>
    <row r="150" spans="54:54" s="14" customFormat="1" x14ac:dyDescent="0.2">
      <c r="BB150" s="558"/>
    </row>
    <row r="151" spans="54:54" s="14" customFormat="1" x14ac:dyDescent="0.2">
      <c r="BB151" s="558"/>
    </row>
    <row r="152" spans="54:54" s="14" customFormat="1" x14ac:dyDescent="0.2">
      <c r="BB152" s="558"/>
    </row>
    <row r="153" spans="54:54" s="14" customFormat="1" x14ac:dyDescent="0.2">
      <c r="BB153" s="558"/>
    </row>
    <row r="154" spans="54:54" s="14" customFormat="1" x14ac:dyDescent="0.2">
      <c r="BB154" s="558"/>
    </row>
    <row r="155" spans="54:54" s="14" customFormat="1" x14ac:dyDescent="0.2">
      <c r="BB155" s="558"/>
    </row>
    <row r="156" spans="54:54" s="14" customFormat="1" x14ac:dyDescent="0.2">
      <c r="BB156" s="558"/>
    </row>
    <row r="157" spans="54:54" s="14" customFormat="1" x14ac:dyDescent="0.2">
      <c r="BB157" s="558"/>
    </row>
    <row r="158" spans="54:54" s="14" customFormat="1" x14ac:dyDescent="0.2">
      <c r="BB158" s="558"/>
    </row>
    <row r="159" spans="54:54" s="14" customFormat="1" x14ac:dyDescent="0.2">
      <c r="BB159" s="558"/>
    </row>
    <row r="160" spans="54:54" s="14" customFormat="1" x14ac:dyDescent="0.2">
      <c r="BB160" s="558"/>
    </row>
    <row r="161" spans="54:54" s="14" customFormat="1" x14ac:dyDescent="0.2">
      <c r="BB161" s="558"/>
    </row>
  </sheetData>
  <dataConsolidate/>
  <mergeCells count="9">
    <mergeCell ref="W1:Y1"/>
    <mergeCell ref="Y14:Z14"/>
    <mergeCell ref="W13:X13"/>
    <mergeCell ref="W14:X14"/>
    <mergeCell ref="C35:D35"/>
    <mergeCell ref="A14:B14"/>
    <mergeCell ref="A1:M1"/>
    <mergeCell ref="Q1:S1"/>
    <mergeCell ref="T1:V1"/>
  </mergeCells>
  <conditionalFormatting sqref="E3:E4">
    <cfRule type="cellIs" dxfId="41" priority="47" operator="equal">
      <formula>"R"</formula>
    </cfRule>
    <cfRule type="cellIs" dxfId="40" priority="48" operator="equal">
      <formula>"Q"</formula>
    </cfRule>
  </conditionalFormatting>
  <conditionalFormatting sqref="E5">
    <cfRule type="cellIs" dxfId="39" priority="41" operator="equal">
      <formula>"R"</formula>
    </cfRule>
    <cfRule type="cellIs" dxfId="38" priority="42" operator="equal">
      <formula>"Q"</formula>
    </cfRule>
  </conditionalFormatting>
  <conditionalFormatting sqref="E6">
    <cfRule type="cellIs" dxfId="37" priority="15" operator="equal">
      <formula>"R"</formula>
    </cfRule>
    <cfRule type="cellIs" dxfId="36" priority="16" operator="equal">
      <formula>"Q"</formula>
    </cfRule>
  </conditionalFormatting>
  <conditionalFormatting sqref="E10">
    <cfRule type="cellIs" dxfId="35" priority="13" operator="equal">
      <formula>"R"</formula>
    </cfRule>
    <cfRule type="cellIs" dxfId="34" priority="14" operator="equal">
      <formula>"Q"</formula>
    </cfRule>
  </conditionalFormatting>
  <conditionalFormatting sqref="E9">
    <cfRule type="cellIs" dxfId="33" priority="7" operator="equal">
      <formula>"R"</formula>
    </cfRule>
    <cfRule type="cellIs" dxfId="32" priority="8" operator="equal">
      <formula>"Q"</formula>
    </cfRule>
  </conditionalFormatting>
  <conditionalFormatting sqref="E7">
    <cfRule type="cellIs" dxfId="31" priority="3" operator="equal">
      <formula>"R"</formula>
    </cfRule>
    <cfRule type="cellIs" dxfId="30" priority="4" operator="equal">
      <formula>"Q"</formula>
    </cfRule>
  </conditionalFormatting>
  <conditionalFormatting sqref="E8">
    <cfRule type="cellIs" dxfId="29" priority="1" operator="equal">
      <formula>"R"</formula>
    </cfRule>
    <cfRule type="cellIs" dxfId="28" priority="2" operator="equal">
      <formula>"Q"</formula>
    </cfRule>
  </conditionalFormatting>
  <dataValidations xWindow="231" yWindow="375" count="2">
    <dataValidation type="whole" allowBlank="1" showInputMessage="1" showErrorMessage="1" errorTitle="No Valido!" error="Selecciones uno de la lista!" promptTitle="Seleccionar de la lista!" prompt="1. Salario Normal_x000a_2. Salario Integral_x000a_3. Cooperado o Contratista" sqref="N3:N10">
      <formula1>1</formula1>
      <formula2>3</formula2>
    </dataValidation>
    <dataValidation type="list" errorStyle="information" allowBlank="1" showInputMessage="1" showErrorMessage="1" errorTitle="¡No se puede crear Rol!" error="Hable con el administrador" promptTitle="Seleccionar Rol" prompt="Debe seleccionar un Rol de la lista si no existe debe crearse con Gestion Humana!" sqref="A3:A10">
      <formula1>$BB$2:$BB$31</formula1>
    </dataValidation>
  </dataValidations>
  <pageMargins left="0.74791666666666667" right="0.74791666666666667" top="0.98402777777777772" bottom="0.98402777777777772" header="0.51180555555555551" footer="0.51180555555555551"/>
  <pageSetup firstPageNumber="0" orientation="landscape" horizontalDpi="300" verticalDpi="300" r:id="rId1"/>
  <headerFooter alignWithMargins="0"/>
  <legacy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M62"/>
  <sheetViews>
    <sheetView topLeftCell="D1" workbookViewId="0">
      <selection activeCell="G14" sqref="G14"/>
    </sheetView>
  </sheetViews>
  <sheetFormatPr baseColWidth="10" defaultColWidth="66.7109375" defaultRowHeight="12.75" x14ac:dyDescent="0.2"/>
  <cols>
    <col min="1" max="1" width="3" style="185" bestFit="1" customWidth="1"/>
    <col min="2" max="2" width="63.28515625" style="185" bestFit="1" customWidth="1"/>
    <col min="3" max="3" width="4.28515625" style="185" bestFit="1" customWidth="1"/>
    <col min="4" max="4" width="24.42578125" style="185" bestFit="1" customWidth="1"/>
    <col min="5" max="5" width="20.140625" style="185" customWidth="1"/>
    <col min="6" max="6" width="10" style="185" bestFit="1" customWidth="1"/>
    <col min="7" max="7" width="11.140625" style="185" customWidth="1"/>
    <col min="8" max="8" width="14.5703125" style="185" customWidth="1"/>
    <col min="9" max="9" width="7.28515625" style="185" bestFit="1" customWidth="1"/>
    <col min="10" max="10" width="12.140625" style="185" bestFit="1" customWidth="1"/>
    <col min="11" max="11" width="17" style="185" bestFit="1" customWidth="1"/>
    <col min="12" max="12" width="18.42578125" style="185" customWidth="1"/>
    <col min="13" max="16384" width="66.7109375" style="185"/>
  </cols>
  <sheetData>
    <row r="1" spans="1:12" x14ac:dyDescent="0.2">
      <c r="B1" s="185" t="s">
        <v>525</v>
      </c>
    </row>
    <row r="2" spans="1:12" x14ac:dyDescent="0.2">
      <c r="B2" s="185" t="s">
        <v>524</v>
      </c>
    </row>
    <row r="4" spans="1:12" x14ac:dyDescent="0.2">
      <c r="B4" s="187" t="s">
        <v>523</v>
      </c>
    </row>
    <row r="5" spans="1:12" ht="13.5" thickBot="1" x14ac:dyDescent="0.25"/>
    <row r="6" spans="1:12" ht="26.25" thickBot="1" x14ac:dyDescent="0.25">
      <c r="B6" s="362" t="s">
        <v>522</v>
      </c>
      <c r="C6" s="361" t="s">
        <v>521</v>
      </c>
      <c r="D6" s="361" t="s">
        <v>520</v>
      </c>
      <c r="E6" s="360" t="s">
        <v>519</v>
      </c>
      <c r="F6" s="187">
        <f>+A39</f>
        <v>33</v>
      </c>
    </row>
    <row r="7" spans="1:12" ht="13.5" thickBot="1" x14ac:dyDescent="0.25">
      <c r="A7" s="185">
        <v>1</v>
      </c>
      <c r="B7" s="326" t="s">
        <v>518</v>
      </c>
      <c r="C7" s="325" t="s">
        <v>517</v>
      </c>
      <c r="D7" s="325"/>
    </row>
    <row r="8" spans="1:12" ht="13.5" thickBot="1" x14ac:dyDescent="0.25">
      <c r="A8" s="185">
        <f t="shared" ref="A8:A39" si="0">+A7+1</f>
        <v>2</v>
      </c>
      <c r="B8" s="326" t="s">
        <v>516</v>
      </c>
      <c r="C8" s="325" t="s">
        <v>453</v>
      </c>
      <c r="D8" s="325"/>
      <c r="E8" s="187" t="s">
        <v>515</v>
      </c>
    </row>
    <row r="9" spans="1:12" ht="13.5" thickBot="1" x14ac:dyDescent="0.25">
      <c r="A9" s="185">
        <f t="shared" si="0"/>
        <v>3</v>
      </c>
      <c r="B9" s="326" t="s">
        <v>514</v>
      </c>
      <c r="C9" s="325" t="s">
        <v>461</v>
      </c>
      <c r="D9" s="325"/>
    </row>
    <row r="10" spans="1:12" ht="27.75" thickBot="1" x14ac:dyDescent="0.3">
      <c r="A10" s="185">
        <f t="shared" si="0"/>
        <v>4</v>
      </c>
      <c r="B10" s="326" t="s">
        <v>513</v>
      </c>
      <c r="C10" s="325" t="s">
        <v>500</v>
      </c>
      <c r="D10" s="325"/>
      <c r="E10" s="359" t="s">
        <v>512</v>
      </c>
      <c r="F10" s="358" t="s">
        <v>511</v>
      </c>
      <c r="G10" s="358" t="s">
        <v>510</v>
      </c>
      <c r="H10" s="358" t="s">
        <v>509</v>
      </c>
      <c r="I10" s="358" t="s">
        <v>508</v>
      </c>
      <c r="J10" s="357" t="s">
        <v>507</v>
      </c>
      <c r="K10" s="356"/>
      <c r="L10" s="977" t="s">
        <v>362</v>
      </c>
    </row>
    <row r="11" spans="1:12" ht="29.25" customHeight="1" thickBot="1" x14ac:dyDescent="0.3">
      <c r="A11" s="185">
        <f t="shared" si="0"/>
        <v>5</v>
      </c>
      <c r="B11" s="326" t="s">
        <v>506</v>
      </c>
      <c r="C11" s="325" t="s">
        <v>453</v>
      </c>
      <c r="D11" s="325"/>
      <c r="E11" s="352" t="s">
        <v>505</v>
      </c>
      <c r="F11" s="355" t="s">
        <v>492</v>
      </c>
      <c r="G11" s="355" t="s">
        <v>504</v>
      </c>
      <c r="H11" s="352" t="s">
        <v>503</v>
      </c>
      <c r="I11" s="355" t="s">
        <v>502</v>
      </c>
      <c r="J11" s="350" t="s">
        <v>489</v>
      </c>
      <c r="K11" s="349" t="s">
        <v>488</v>
      </c>
      <c r="L11" s="978"/>
    </row>
    <row r="12" spans="1:12" ht="14.25" customHeight="1" thickBot="1" x14ac:dyDescent="0.3">
      <c r="A12" s="185">
        <f t="shared" si="0"/>
        <v>6</v>
      </c>
      <c r="B12" s="326" t="s">
        <v>501</v>
      </c>
      <c r="C12" s="325" t="s">
        <v>500</v>
      </c>
      <c r="D12" s="325"/>
      <c r="E12" s="346"/>
      <c r="F12" s="345"/>
      <c r="G12" s="345"/>
      <c r="H12" s="346"/>
      <c r="I12" s="345"/>
      <c r="J12" s="348" t="s">
        <v>499</v>
      </c>
      <c r="K12" s="347">
        <v>0.05</v>
      </c>
      <c r="L12" s="978"/>
    </row>
    <row r="13" spans="1:12" ht="14.25" thickBot="1" x14ac:dyDescent="0.3">
      <c r="A13" s="185">
        <f t="shared" si="0"/>
        <v>7</v>
      </c>
      <c r="B13" s="326" t="s">
        <v>498</v>
      </c>
      <c r="C13" s="325" t="s">
        <v>453</v>
      </c>
      <c r="D13" s="325"/>
      <c r="E13" s="346"/>
      <c r="F13" s="345"/>
      <c r="G13" s="345"/>
      <c r="H13" s="346"/>
      <c r="I13" s="345"/>
      <c r="J13" s="348" t="s">
        <v>497</v>
      </c>
      <c r="K13" s="347">
        <v>0.1</v>
      </c>
      <c r="L13" s="978"/>
    </row>
    <row r="14" spans="1:12" ht="14.25" thickBot="1" x14ac:dyDescent="0.3">
      <c r="A14" s="185">
        <f t="shared" si="0"/>
        <v>8</v>
      </c>
      <c r="B14" s="326" t="s">
        <v>496</v>
      </c>
      <c r="C14" s="325" t="s">
        <v>453</v>
      </c>
      <c r="D14" s="325"/>
      <c r="E14" s="354"/>
      <c r="F14" s="353"/>
      <c r="G14" s="353"/>
      <c r="H14" s="354"/>
      <c r="I14" s="353"/>
      <c r="J14" s="348" t="s">
        <v>495</v>
      </c>
      <c r="K14" s="347">
        <v>0.15</v>
      </c>
      <c r="L14" s="978"/>
    </row>
    <row r="15" spans="1:12" ht="81.75" thickBot="1" x14ac:dyDescent="0.3">
      <c r="A15" s="185">
        <f t="shared" si="0"/>
        <v>9</v>
      </c>
      <c r="B15" s="326" t="s">
        <v>494</v>
      </c>
      <c r="C15" s="325" t="s">
        <v>453</v>
      </c>
      <c r="D15" s="325"/>
      <c r="E15" s="352" t="s">
        <v>493</v>
      </c>
      <c r="F15" s="351" t="s">
        <v>492</v>
      </c>
      <c r="G15" s="351" t="s">
        <v>491</v>
      </c>
      <c r="H15" s="352" t="s">
        <v>490</v>
      </c>
      <c r="I15" s="351">
        <v>0</v>
      </c>
      <c r="J15" s="350" t="s">
        <v>489</v>
      </c>
      <c r="K15" s="349" t="s">
        <v>488</v>
      </c>
      <c r="L15" s="978"/>
    </row>
    <row r="16" spans="1:12" ht="14.25" customHeight="1" thickBot="1" x14ac:dyDescent="0.3">
      <c r="A16" s="185">
        <f t="shared" si="0"/>
        <v>10</v>
      </c>
      <c r="B16" s="326" t="s">
        <v>487</v>
      </c>
      <c r="C16" s="325" t="s">
        <v>453</v>
      </c>
      <c r="D16" s="325"/>
      <c r="E16" s="346"/>
      <c r="F16" s="345"/>
      <c r="G16" s="345"/>
      <c r="H16" s="346"/>
      <c r="I16" s="345"/>
      <c r="J16" s="348" t="s">
        <v>486</v>
      </c>
      <c r="K16" s="347">
        <v>0.1</v>
      </c>
      <c r="L16" s="978"/>
    </row>
    <row r="17" spans="1:12" ht="14.25" thickBot="1" x14ac:dyDescent="0.3">
      <c r="A17" s="185">
        <f t="shared" si="0"/>
        <v>11</v>
      </c>
      <c r="B17" s="326" t="s">
        <v>485</v>
      </c>
      <c r="C17" s="325" t="s">
        <v>453</v>
      </c>
      <c r="D17" s="325"/>
      <c r="E17" s="346"/>
      <c r="F17" s="345"/>
      <c r="G17" s="345"/>
      <c r="H17" s="346"/>
      <c r="I17" s="345"/>
      <c r="J17" s="348" t="s">
        <v>484</v>
      </c>
      <c r="K17" s="347">
        <v>0.15</v>
      </c>
      <c r="L17" s="978"/>
    </row>
    <row r="18" spans="1:12" ht="14.25" thickBot="1" x14ac:dyDescent="0.3">
      <c r="A18" s="185">
        <f t="shared" si="0"/>
        <v>12</v>
      </c>
      <c r="B18" s="326" t="s">
        <v>483</v>
      </c>
      <c r="C18" s="325" t="s">
        <v>453</v>
      </c>
      <c r="D18" s="325"/>
      <c r="E18" s="346"/>
      <c r="F18" s="345"/>
      <c r="G18" s="345"/>
      <c r="H18" s="346"/>
      <c r="I18" s="345"/>
      <c r="J18" s="344" t="s">
        <v>482</v>
      </c>
      <c r="K18" s="343">
        <v>0.2</v>
      </c>
      <c r="L18" s="978"/>
    </row>
    <row r="19" spans="1:12" ht="14.25" thickTop="1" thickBot="1" x14ac:dyDescent="0.25">
      <c r="A19" s="185">
        <f t="shared" si="0"/>
        <v>13</v>
      </c>
      <c r="B19" s="326" t="s">
        <v>481</v>
      </c>
      <c r="C19" s="325" t="s">
        <v>453</v>
      </c>
      <c r="D19" s="328"/>
      <c r="E19" s="975" t="s">
        <v>480</v>
      </c>
      <c r="F19" s="976"/>
      <c r="G19" s="976"/>
      <c r="H19" s="976"/>
      <c r="I19" s="342">
        <f>+K18+K14</f>
        <v>0.35</v>
      </c>
      <c r="J19" s="322"/>
      <c r="K19" s="324"/>
      <c r="L19" s="978"/>
    </row>
    <row r="20" spans="1:12" ht="13.5" thickBot="1" x14ac:dyDescent="0.25">
      <c r="A20" s="185">
        <f t="shared" si="0"/>
        <v>14</v>
      </c>
      <c r="B20" s="326" t="s">
        <v>479</v>
      </c>
      <c r="C20" s="325" t="s">
        <v>453</v>
      </c>
      <c r="D20" s="328"/>
      <c r="E20" s="341" t="s">
        <v>478</v>
      </c>
      <c r="F20" s="293"/>
      <c r="G20" s="293"/>
      <c r="H20" s="293"/>
      <c r="I20" s="293"/>
      <c r="J20" s="293"/>
      <c r="K20" s="303"/>
      <c r="L20" s="978"/>
    </row>
    <row r="21" spans="1:12" ht="13.5" thickBot="1" x14ac:dyDescent="0.25">
      <c r="A21" s="185">
        <f t="shared" si="0"/>
        <v>15</v>
      </c>
      <c r="B21" s="326" t="s">
        <v>477</v>
      </c>
      <c r="C21" s="325" t="s">
        <v>453</v>
      </c>
      <c r="D21" s="328"/>
      <c r="E21" s="333" t="s">
        <v>467</v>
      </c>
      <c r="F21" s="293"/>
      <c r="G21" s="293"/>
      <c r="H21" s="340">
        <f>+K14</f>
        <v>0.15</v>
      </c>
      <c r="I21" s="293"/>
      <c r="J21" s="293" t="s">
        <v>132</v>
      </c>
      <c r="K21" s="303"/>
      <c r="L21" s="978"/>
    </row>
    <row r="22" spans="1:12" ht="13.5" thickBot="1" x14ac:dyDescent="0.25">
      <c r="A22" s="185">
        <f t="shared" si="0"/>
        <v>16</v>
      </c>
      <c r="B22" s="326" t="s">
        <v>476</v>
      </c>
      <c r="C22" s="325" t="s">
        <v>453</v>
      </c>
      <c r="D22" s="328"/>
      <c r="E22" s="333" t="s">
        <v>465</v>
      </c>
      <c r="F22" s="293"/>
      <c r="G22" s="339">
        <v>0.05</v>
      </c>
      <c r="H22" s="339">
        <v>0.1</v>
      </c>
      <c r="I22" s="339">
        <v>0.15</v>
      </c>
      <c r="J22" s="338">
        <v>0</v>
      </c>
      <c r="K22" s="303"/>
      <c r="L22" s="978"/>
    </row>
    <row r="23" spans="1:12" ht="13.5" thickBot="1" x14ac:dyDescent="0.25">
      <c r="A23" s="185">
        <f t="shared" si="0"/>
        <v>17</v>
      </c>
      <c r="B23" s="326" t="s">
        <v>475</v>
      </c>
      <c r="C23" s="325" t="s">
        <v>453</v>
      </c>
      <c r="D23" s="328"/>
      <c r="E23" s="333"/>
      <c r="F23" s="293">
        <f>+F6</f>
        <v>33</v>
      </c>
      <c r="G23" s="337">
        <v>0.6</v>
      </c>
      <c r="H23" s="337">
        <v>0.2</v>
      </c>
      <c r="I23" s="337">
        <v>0.1</v>
      </c>
      <c r="J23" s="337">
        <v>0.1</v>
      </c>
      <c r="K23" s="334">
        <f>+SUM(G23:J23)</f>
        <v>1</v>
      </c>
      <c r="L23" s="978"/>
    </row>
    <row r="24" spans="1:12" ht="13.5" thickBot="1" x14ac:dyDescent="0.25">
      <c r="A24" s="185">
        <f t="shared" si="0"/>
        <v>18</v>
      </c>
      <c r="B24" s="326" t="s">
        <v>474</v>
      </c>
      <c r="C24" s="325" t="s">
        <v>453</v>
      </c>
      <c r="D24" s="328"/>
      <c r="E24" s="333"/>
      <c r="F24" s="293"/>
      <c r="G24" s="336">
        <f>+G23*$F$23</f>
        <v>19.8</v>
      </c>
      <c r="H24" s="336">
        <f>+H23*$F$23</f>
        <v>6.6000000000000005</v>
      </c>
      <c r="I24" s="336">
        <f>+I23*$F$23</f>
        <v>3.3000000000000003</v>
      </c>
      <c r="J24" s="336">
        <f>+J23*$F$23</f>
        <v>3.3000000000000003</v>
      </c>
      <c r="K24" s="335">
        <f>+SUM(G24:J24)</f>
        <v>33</v>
      </c>
      <c r="L24" s="978"/>
    </row>
    <row r="25" spans="1:12" ht="13.5" thickBot="1" x14ac:dyDescent="0.25">
      <c r="A25" s="185">
        <f t="shared" si="0"/>
        <v>19</v>
      </c>
      <c r="B25" s="326" t="s">
        <v>473</v>
      </c>
      <c r="C25" s="325" t="s">
        <v>453</v>
      </c>
      <c r="D25" s="328"/>
      <c r="E25" s="333"/>
      <c r="F25" s="293"/>
      <c r="G25" s="217">
        <v>20</v>
      </c>
      <c r="H25" s="217">
        <v>7</v>
      </c>
      <c r="I25" s="217">
        <v>3</v>
      </c>
      <c r="J25" s="217">
        <v>3</v>
      </c>
      <c r="K25" s="335">
        <f>+SUM(G25:J25)</f>
        <v>33</v>
      </c>
      <c r="L25" s="978"/>
    </row>
    <row r="26" spans="1:12" ht="13.5" thickBot="1" x14ac:dyDescent="0.25">
      <c r="A26" s="185">
        <f t="shared" si="0"/>
        <v>20</v>
      </c>
      <c r="B26" s="326" t="s">
        <v>472</v>
      </c>
      <c r="C26" s="325" t="s">
        <v>453</v>
      </c>
      <c r="D26" s="328"/>
      <c r="E26" s="333"/>
      <c r="F26" s="293"/>
      <c r="G26" s="217">
        <f>+G22*G25</f>
        <v>1</v>
      </c>
      <c r="H26" s="217">
        <f>+H22*H25</f>
        <v>0.70000000000000007</v>
      </c>
      <c r="I26" s="217">
        <f>+I22*I25</f>
        <v>0.44999999999999996</v>
      </c>
      <c r="J26" s="217">
        <f>+J22*J25</f>
        <v>0</v>
      </c>
      <c r="K26" s="334">
        <f>+SUM(G26:J26)/K25</f>
        <v>6.5151515151515169E-2</v>
      </c>
      <c r="L26" s="978"/>
    </row>
    <row r="27" spans="1:12" ht="13.5" thickBot="1" x14ac:dyDescent="0.25">
      <c r="A27" s="185">
        <f t="shared" si="0"/>
        <v>21</v>
      </c>
      <c r="B27" s="326" t="s">
        <v>471</v>
      </c>
      <c r="C27" s="325" t="s">
        <v>453</v>
      </c>
      <c r="D27" s="328"/>
      <c r="E27" s="333"/>
      <c r="F27" s="293"/>
      <c r="G27" s="293"/>
      <c r="H27" s="294"/>
      <c r="I27" s="293"/>
      <c r="J27" s="293"/>
      <c r="K27" s="332">
        <v>6.5000000000000002E-2</v>
      </c>
      <c r="L27" s="978"/>
    </row>
    <row r="28" spans="1:12" ht="13.5" thickBot="1" x14ac:dyDescent="0.25">
      <c r="A28" s="185">
        <f t="shared" si="0"/>
        <v>22</v>
      </c>
      <c r="B28" s="326" t="s">
        <v>470</v>
      </c>
      <c r="C28" s="325" t="s">
        <v>453</v>
      </c>
      <c r="D28" s="328"/>
      <c r="E28" s="341" t="s">
        <v>469</v>
      </c>
      <c r="F28" s="293"/>
      <c r="G28" s="293"/>
      <c r="H28" s="293"/>
      <c r="I28" s="293"/>
      <c r="J28" s="293"/>
      <c r="K28" s="303"/>
      <c r="L28" s="978"/>
    </row>
    <row r="29" spans="1:12" ht="13.5" thickBot="1" x14ac:dyDescent="0.25">
      <c r="A29" s="185">
        <f t="shared" si="0"/>
        <v>23</v>
      </c>
      <c r="B29" s="326" t="s">
        <v>468</v>
      </c>
      <c r="C29" s="325" t="s">
        <v>453</v>
      </c>
      <c r="D29" s="328"/>
      <c r="E29" s="333" t="s">
        <v>467</v>
      </c>
      <c r="F29" s="293"/>
      <c r="G29" s="293"/>
      <c r="H29" s="340">
        <f>+K18</f>
        <v>0.2</v>
      </c>
      <c r="I29" s="293"/>
      <c r="J29" s="293" t="s">
        <v>132</v>
      </c>
      <c r="K29" s="303"/>
      <c r="L29" s="978"/>
    </row>
    <row r="30" spans="1:12" ht="13.5" thickBot="1" x14ac:dyDescent="0.25">
      <c r="A30" s="185">
        <f t="shared" si="0"/>
        <v>24</v>
      </c>
      <c r="B30" s="326" t="s">
        <v>466</v>
      </c>
      <c r="C30" s="325" t="s">
        <v>453</v>
      </c>
      <c r="D30" s="328"/>
      <c r="E30" s="333" t="s">
        <v>465</v>
      </c>
      <c r="F30" s="293"/>
      <c r="G30" s="339">
        <v>0.1</v>
      </c>
      <c r="H30" s="339">
        <v>0.15</v>
      </c>
      <c r="I30" s="339">
        <v>0.2</v>
      </c>
      <c r="J30" s="338">
        <v>0</v>
      </c>
      <c r="K30" s="303"/>
      <c r="L30" s="978"/>
    </row>
    <row r="31" spans="1:12" ht="13.5" thickBot="1" x14ac:dyDescent="0.25">
      <c r="A31" s="185">
        <f t="shared" si="0"/>
        <v>25</v>
      </c>
      <c r="B31" s="326" t="s">
        <v>464</v>
      </c>
      <c r="C31" s="325" t="s">
        <v>458</v>
      </c>
      <c r="D31" s="328"/>
      <c r="E31" s="333"/>
      <c r="F31" s="293">
        <f>+F6</f>
        <v>33</v>
      </c>
      <c r="G31" s="337">
        <v>0.05</v>
      </c>
      <c r="H31" s="337">
        <v>0.05</v>
      </c>
      <c r="I31" s="337">
        <v>0.02</v>
      </c>
      <c r="J31" s="337">
        <v>0.9</v>
      </c>
      <c r="K31" s="334">
        <f>+SUM(G31:J31)</f>
        <v>1.02</v>
      </c>
      <c r="L31" s="978"/>
    </row>
    <row r="32" spans="1:12" ht="13.5" thickBot="1" x14ac:dyDescent="0.25">
      <c r="A32" s="185">
        <f t="shared" si="0"/>
        <v>26</v>
      </c>
      <c r="B32" s="326" t="s">
        <v>463</v>
      </c>
      <c r="C32" s="325" t="s">
        <v>453</v>
      </c>
      <c r="D32" s="328"/>
      <c r="E32" s="333"/>
      <c r="F32" s="293"/>
      <c r="G32" s="336">
        <f>+G31*$F$23</f>
        <v>1.6500000000000001</v>
      </c>
      <c r="H32" s="336">
        <f>+H31*$F$23</f>
        <v>1.6500000000000001</v>
      </c>
      <c r="I32" s="336">
        <f>+I31*$F$23</f>
        <v>0.66</v>
      </c>
      <c r="J32" s="336">
        <f>+J31*$F$23</f>
        <v>29.7</v>
      </c>
      <c r="K32" s="335">
        <f>+SUM(G32:J32)</f>
        <v>33.659999999999997</v>
      </c>
      <c r="L32" s="978"/>
    </row>
    <row r="33" spans="1:13" ht="13.5" thickBot="1" x14ac:dyDescent="0.25">
      <c r="A33" s="185">
        <f t="shared" si="0"/>
        <v>27</v>
      </c>
      <c r="B33" s="326" t="s">
        <v>462</v>
      </c>
      <c r="C33" s="325" t="s">
        <v>461</v>
      </c>
      <c r="D33" s="328"/>
      <c r="E33" s="333"/>
      <c r="F33" s="293"/>
      <c r="G33" s="217">
        <v>2</v>
      </c>
      <c r="H33" s="217">
        <v>2</v>
      </c>
      <c r="I33" s="217">
        <v>1</v>
      </c>
      <c r="J33" s="217">
        <v>28</v>
      </c>
      <c r="K33" s="335">
        <f>+SUM(G33:J33)</f>
        <v>33</v>
      </c>
      <c r="L33" s="978"/>
    </row>
    <row r="34" spans="1:13" ht="13.5" thickBot="1" x14ac:dyDescent="0.25">
      <c r="A34" s="185">
        <f t="shared" si="0"/>
        <v>28</v>
      </c>
      <c r="B34" s="326" t="s">
        <v>460</v>
      </c>
      <c r="C34" s="325" t="s">
        <v>453</v>
      </c>
      <c r="D34" s="328"/>
      <c r="E34" s="333"/>
      <c r="F34" s="293"/>
      <c r="G34" s="217">
        <f>+G30*G33</f>
        <v>0.2</v>
      </c>
      <c r="H34" s="217">
        <f>+H30*H33</f>
        <v>0.3</v>
      </c>
      <c r="I34" s="217">
        <f>+I30*I33</f>
        <v>0.2</v>
      </c>
      <c r="J34" s="217">
        <f>+J30*J33</f>
        <v>0</v>
      </c>
      <c r="K34" s="334">
        <f>+SUM(G34:J34)/K33</f>
        <v>2.121212121212121E-2</v>
      </c>
      <c r="L34" s="978"/>
    </row>
    <row r="35" spans="1:13" ht="13.5" thickBot="1" x14ac:dyDescent="0.25">
      <c r="A35" s="185">
        <f t="shared" si="0"/>
        <v>29</v>
      </c>
      <c r="B35" s="326" t="s">
        <v>459</v>
      </c>
      <c r="C35" s="325" t="s">
        <v>458</v>
      </c>
      <c r="D35" s="328"/>
      <c r="E35" s="333"/>
      <c r="F35" s="293"/>
      <c r="G35" s="293"/>
      <c r="H35" s="294"/>
      <c r="I35" s="293"/>
      <c r="J35" s="293"/>
      <c r="K35" s="332">
        <v>2.1000000000000001E-2</v>
      </c>
      <c r="L35" s="978"/>
    </row>
    <row r="36" spans="1:13" ht="13.5" thickBot="1" x14ac:dyDescent="0.25">
      <c r="A36" s="185">
        <f t="shared" si="0"/>
        <v>30</v>
      </c>
      <c r="B36" s="326" t="s">
        <v>457</v>
      </c>
      <c r="C36" s="325" t="s">
        <v>453</v>
      </c>
      <c r="D36" s="328"/>
      <c r="E36" s="331"/>
      <c r="F36" s="330"/>
      <c r="G36" s="330"/>
      <c r="H36" s="330"/>
      <c r="I36" s="330"/>
      <c r="J36" s="330"/>
      <c r="K36" s="329">
        <f>+K26+K34</f>
        <v>8.6363636363636379E-2</v>
      </c>
      <c r="L36" s="978"/>
    </row>
    <row r="37" spans="1:13" ht="16.5" thickBot="1" x14ac:dyDescent="0.3">
      <c r="A37" s="185">
        <f t="shared" si="0"/>
        <v>31</v>
      </c>
      <c r="B37" s="326" t="s">
        <v>456</v>
      </c>
      <c r="C37" s="325" t="s">
        <v>451</v>
      </c>
      <c r="D37" s="328"/>
      <c r="E37" s="973" t="s">
        <v>455</v>
      </c>
      <c r="F37" s="974"/>
      <c r="G37" s="974"/>
      <c r="H37" s="974"/>
      <c r="I37" s="974"/>
      <c r="J37" s="974"/>
      <c r="K37" s="327">
        <v>0.09</v>
      </c>
      <c r="L37" s="979"/>
    </row>
    <row r="38" spans="1:13" ht="13.5" thickBot="1" x14ac:dyDescent="0.25">
      <c r="A38" s="185">
        <f t="shared" si="0"/>
        <v>32</v>
      </c>
      <c r="B38" s="326" t="s">
        <v>454</v>
      </c>
      <c r="C38" s="325" t="s">
        <v>453</v>
      </c>
      <c r="D38" s="325"/>
    </row>
    <row r="39" spans="1:13" ht="13.5" thickBot="1" x14ac:dyDescent="0.25">
      <c r="A39" s="185">
        <f t="shared" si="0"/>
        <v>33</v>
      </c>
      <c r="B39" s="326" t="s">
        <v>452</v>
      </c>
      <c r="C39" s="325" t="s">
        <v>451</v>
      </c>
      <c r="D39" s="325"/>
    </row>
    <row r="41" spans="1:13" ht="13.5" thickBot="1" x14ac:dyDescent="0.25">
      <c r="B41" s="197" t="s">
        <v>450</v>
      </c>
      <c r="C41" s="196"/>
      <c r="D41" s="196"/>
      <c r="E41" s="196"/>
      <c r="F41" s="196"/>
      <c r="G41" s="196"/>
      <c r="H41" s="196"/>
      <c r="I41" s="196"/>
      <c r="J41" s="196"/>
      <c r="K41" s="196"/>
      <c r="L41" s="196"/>
      <c r="M41" s="196"/>
    </row>
    <row r="42" spans="1:13" ht="13.5" thickTop="1" x14ac:dyDescent="0.2">
      <c r="C42" s="987" t="s">
        <v>449</v>
      </c>
      <c r="D42" s="988"/>
      <c r="E42" s="323"/>
      <c r="F42" s="323"/>
      <c r="G42" s="324"/>
      <c r="H42" s="991" t="s">
        <v>448</v>
      </c>
      <c r="I42" s="992"/>
      <c r="J42" s="323"/>
      <c r="K42" s="323"/>
      <c r="L42" s="322"/>
      <c r="M42" s="321"/>
    </row>
    <row r="43" spans="1:13" x14ac:dyDescent="0.2">
      <c r="C43" s="981"/>
      <c r="D43" s="982"/>
      <c r="E43" s="317" t="s">
        <v>447</v>
      </c>
      <c r="F43" s="317"/>
      <c r="G43" s="303" t="s">
        <v>446</v>
      </c>
      <c r="H43" s="981"/>
      <c r="I43" s="982"/>
      <c r="J43" s="980" t="s">
        <v>445</v>
      </c>
      <c r="K43" s="980"/>
      <c r="L43" s="293"/>
      <c r="M43" s="320"/>
    </row>
    <row r="44" spans="1:13" x14ac:dyDescent="0.2">
      <c r="C44" s="981"/>
      <c r="D44" s="982"/>
      <c r="E44" s="317" t="s">
        <v>444</v>
      </c>
      <c r="F44" s="317"/>
      <c r="G44" s="303" t="s">
        <v>441</v>
      </c>
      <c r="H44" s="981"/>
      <c r="I44" s="982"/>
      <c r="J44" s="980" t="s">
        <v>443</v>
      </c>
      <c r="K44" s="980"/>
      <c r="L44" s="293"/>
      <c r="M44" s="320"/>
    </row>
    <row r="45" spans="1:13" x14ac:dyDescent="0.2">
      <c r="B45" s="196"/>
      <c r="C45" s="989" t="s">
        <v>290</v>
      </c>
      <c r="D45" s="990"/>
      <c r="E45" s="317"/>
      <c r="F45" s="317"/>
      <c r="G45" s="318"/>
      <c r="H45" s="981"/>
      <c r="I45" s="982"/>
      <c r="J45" s="980" t="s">
        <v>442</v>
      </c>
      <c r="K45" s="980"/>
      <c r="L45" s="317"/>
      <c r="M45" s="316"/>
    </row>
    <row r="46" spans="1:13" x14ac:dyDescent="0.2">
      <c r="B46" s="196"/>
      <c r="C46" s="981"/>
      <c r="D46" s="982"/>
      <c r="E46" s="317" t="s">
        <v>441</v>
      </c>
      <c r="F46" s="317"/>
      <c r="G46" s="318"/>
      <c r="H46" s="981"/>
      <c r="I46" s="982"/>
      <c r="J46" s="980" t="s">
        <v>440</v>
      </c>
      <c r="K46" s="980"/>
      <c r="L46" s="317"/>
      <c r="M46" s="316"/>
    </row>
    <row r="47" spans="1:13" x14ac:dyDescent="0.2">
      <c r="B47" s="196"/>
      <c r="C47" s="989" t="s">
        <v>439</v>
      </c>
      <c r="D47" s="990"/>
      <c r="E47" s="317"/>
      <c r="F47" s="317"/>
      <c r="G47" s="318"/>
      <c r="H47" s="981"/>
      <c r="I47" s="982"/>
      <c r="J47" s="980" t="s">
        <v>438</v>
      </c>
      <c r="K47" s="980"/>
      <c r="L47" s="317"/>
      <c r="M47" s="316"/>
    </row>
    <row r="48" spans="1:13" x14ac:dyDescent="0.2">
      <c r="B48" s="196"/>
      <c r="C48" s="981"/>
      <c r="D48" s="982"/>
      <c r="E48" s="317" t="s">
        <v>437</v>
      </c>
      <c r="F48" s="317"/>
      <c r="G48" s="318" t="s">
        <v>436</v>
      </c>
      <c r="H48" s="981"/>
      <c r="I48" s="982"/>
      <c r="J48" s="980" t="s">
        <v>435</v>
      </c>
      <c r="K48" s="980"/>
      <c r="L48" s="317" t="s">
        <v>434</v>
      </c>
      <c r="M48" s="316"/>
    </row>
    <row r="49" spans="2:13" x14ac:dyDescent="0.2">
      <c r="B49" s="196"/>
      <c r="C49" s="981"/>
      <c r="D49" s="982"/>
      <c r="E49" s="317" t="s">
        <v>433</v>
      </c>
      <c r="F49" s="317"/>
      <c r="G49" s="318"/>
      <c r="H49" s="981"/>
      <c r="I49" s="982"/>
      <c r="J49" s="317"/>
      <c r="K49" s="317"/>
      <c r="L49" s="317" t="s">
        <v>432</v>
      </c>
      <c r="M49" s="316"/>
    </row>
    <row r="50" spans="2:13" x14ac:dyDescent="0.2">
      <c r="B50" s="196"/>
      <c r="C50" s="981"/>
      <c r="D50" s="982"/>
      <c r="E50" s="317" t="s">
        <v>431</v>
      </c>
      <c r="F50" s="317"/>
      <c r="G50" s="318"/>
      <c r="H50" s="981"/>
      <c r="I50" s="982"/>
      <c r="J50" s="980" t="s">
        <v>430</v>
      </c>
      <c r="K50" s="980"/>
      <c r="L50" s="317" t="s">
        <v>429</v>
      </c>
      <c r="M50" s="316"/>
    </row>
    <row r="51" spans="2:13" x14ac:dyDescent="0.2">
      <c r="B51" s="196"/>
      <c r="C51" s="981"/>
      <c r="D51" s="982"/>
      <c r="E51" s="317"/>
      <c r="F51" s="317"/>
      <c r="G51" s="318"/>
      <c r="H51" s="981"/>
      <c r="I51" s="982"/>
      <c r="J51" s="317"/>
      <c r="K51" s="317"/>
      <c r="L51" s="317" t="s">
        <v>428</v>
      </c>
      <c r="M51" s="316"/>
    </row>
    <row r="52" spans="2:13" x14ac:dyDescent="0.2">
      <c r="B52" s="196"/>
      <c r="C52" s="989" t="s">
        <v>427</v>
      </c>
      <c r="D52" s="990"/>
      <c r="E52" s="317"/>
      <c r="F52" s="317"/>
      <c r="G52" s="318"/>
      <c r="H52" s="319" t="s">
        <v>426</v>
      </c>
      <c r="I52" s="317"/>
      <c r="J52" s="317"/>
      <c r="K52" s="317"/>
      <c r="L52" s="317"/>
      <c r="M52" s="316"/>
    </row>
    <row r="53" spans="2:13" x14ac:dyDescent="0.2">
      <c r="B53" s="196"/>
      <c r="C53" s="981"/>
      <c r="D53" s="982"/>
      <c r="E53" s="317" t="s">
        <v>425</v>
      </c>
      <c r="F53" s="317"/>
      <c r="G53" s="318"/>
      <c r="H53" s="983"/>
      <c r="I53" s="984"/>
      <c r="J53" s="980" t="s">
        <v>424</v>
      </c>
      <c r="K53" s="980"/>
      <c r="L53" s="317"/>
      <c r="M53" s="316"/>
    </row>
    <row r="54" spans="2:13" x14ac:dyDescent="0.2">
      <c r="B54" s="196"/>
      <c r="C54" s="981"/>
      <c r="D54" s="982"/>
      <c r="E54" s="317"/>
      <c r="F54" s="317"/>
      <c r="G54" s="318"/>
      <c r="H54" s="983"/>
      <c r="I54" s="984"/>
      <c r="J54" s="980" t="s">
        <v>423</v>
      </c>
      <c r="K54" s="980"/>
      <c r="L54" s="317"/>
      <c r="M54" s="316"/>
    </row>
    <row r="55" spans="2:13" x14ac:dyDescent="0.2">
      <c r="B55" s="196"/>
      <c r="C55" s="981"/>
      <c r="D55" s="982"/>
      <c r="E55" s="317"/>
      <c r="F55" s="317"/>
      <c r="G55" s="318"/>
      <c r="H55" s="983"/>
      <c r="I55" s="984"/>
      <c r="J55" s="980" t="s">
        <v>422</v>
      </c>
      <c r="K55" s="980"/>
      <c r="L55" s="317"/>
      <c r="M55" s="316"/>
    </row>
    <row r="56" spans="2:13" x14ac:dyDescent="0.2">
      <c r="B56" s="196"/>
      <c r="C56" s="981"/>
      <c r="D56" s="982"/>
      <c r="E56" s="317"/>
      <c r="F56" s="317"/>
      <c r="G56" s="318"/>
      <c r="H56" s="983"/>
      <c r="I56" s="984"/>
      <c r="J56" s="980" t="s">
        <v>421</v>
      </c>
      <c r="K56" s="980"/>
      <c r="L56" s="317"/>
      <c r="M56" s="316"/>
    </row>
    <row r="57" spans="2:13" x14ac:dyDescent="0.2">
      <c r="B57" s="196"/>
      <c r="C57" s="981"/>
      <c r="D57" s="982"/>
      <c r="E57" s="317"/>
      <c r="F57" s="317"/>
      <c r="G57" s="318"/>
      <c r="H57" s="985" t="s">
        <v>420</v>
      </c>
      <c r="I57" s="986"/>
      <c r="J57" s="317"/>
      <c r="K57" s="317"/>
      <c r="L57" s="317"/>
      <c r="M57" s="316"/>
    </row>
    <row r="58" spans="2:13" x14ac:dyDescent="0.2">
      <c r="B58" s="196"/>
      <c r="C58" s="981"/>
      <c r="D58" s="982"/>
      <c r="E58" s="317"/>
      <c r="F58" s="317"/>
      <c r="G58" s="318"/>
      <c r="H58" s="983"/>
      <c r="I58" s="984"/>
      <c r="J58" s="980" t="s">
        <v>339</v>
      </c>
      <c r="K58" s="980"/>
      <c r="L58" s="317"/>
      <c r="M58" s="316"/>
    </row>
    <row r="59" spans="2:13" x14ac:dyDescent="0.2">
      <c r="B59" s="196"/>
      <c r="C59" s="981"/>
      <c r="D59" s="982"/>
      <c r="E59" s="317"/>
      <c r="F59" s="317"/>
      <c r="G59" s="318"/>
      <c r="H59" s="983"/>
      <c r="I59" s="984"/>
      <c r="J59" s="980" t="s">
        <v>419</v>
      </c>
      <c r="K59" s="980"/>
      <c r="L59" s="317"/>
      <c r="M59" s="316"/>
    </row>
    <row r="60" spans="2:13" x14ac:dyDescent="0.2">
      <c r="B60" s="196"/>
      <c r="C60" s="981"/>
      <c r="D60" s="982"/>
      <c r="E60" s="317"/>
      <c r="F60" s="317"/>
      <c r="G60" s="318"/>
      <c r="H60" s="983"/>
      <c r="I60" s="984"/>
      <c r="J60" s="980" t="s">
        <v>418</v>
      </c>
      <c r="K60" s="980"/>
      <c r="L60" s="317"/>
      <c r="M60" s="316"/>
    </row>
    <row r="61" spans="2:13" ht="13.5" thickBot="1" x14ac:dyDescent="0.25">
      <c r="B61" s="196"/>
      <c r="C61" s="995"/>
      <c r="D61" s="996"/>
      <c r="E61" s="314"/>
      <c r="F61" s="314"/>
      <c r="G61" s="315"/>
      <c r="H61" s="993"/>
      <c r="I61" s="994"/>
      <c r="J61" s="314" t="s">
        <v>417</v>
      </c>
      <c r="K61" s="314"/>
      <c r="L61" s="314"/>
      <c r="M61" s="313"/>
    </row>
    <row r="62" spans="2:13" ht="13.5" thickTop="1" x14ac:dyDescent="0.2"/>
  </sheetData>
  <mergeCells count="56">
    <mergeCell ref="C53:D53"/>
    <mergeCell ref="C54:D54"/>
    <mergeCell ref="H58:I58"/>
    <mergeCell ref="H61:I61"/>
    <mergeCell ref="C61:D61"/>
    <mergeCell ref="C59:D59"/>
    <mergeCell ref="H56:I56"/>
    <mergeCell ref="C56:D56"/>
    <mergeCell ref="C57:D57"/>
    <mergeCell ref="C58:D58"/>
    <mergeCell ref="H51:I51"/>
    <mergeCell ref="J56:K56"/>
    <mergeCell ref="J53:K53"/>
    <mergeCell ref="J47:K47"/>
    <mergeCell ref="C55:D55"/>
    <mergeCell ref="H47:I47"/>
    <mergeCell ref="H48:I48"/>
    <mergeCell ref="C48:D48"/>
    <mergeCell ref="C49:D49"/>
    <mergeCell ref="C50:D50"/>
    <mergeCell ref="J55:K55"/>
    <mergeCell ref="J54:K54"/>
    <mergeCell ref="H50:I50"/>
    <mergeCell ref="C51:D51"/>
    <mergeCell ref="H55:I55"/>
    <mergeCell ref="C52:D52"/>
    <mergeCell ref="J48:K48"/>
    <mergeCell ref="H46:I46"/>
    <mergeCell ref="C42:D42"/>
    <mergeCell ref="C45:D45"/>
    <mergeCell ref="J45:K45"/>
    <mergeCell ref="C43:D43"/>
    <mergeCell ref="C44:D44"/>
    <mergeCell ref="H42:I42"/>
    <mergeCell ref="J43:K43"/>
    <mergeCell ref="J44:K44"/>
    <mergeCell ref="H43:I43"/>
    <mergeCell ref="H44:I44"/>
    <mergeCell ref="H45:I45"/>
    <mergeCell ref="C47:D47"/>
    <mergeCell ref="E37:J37"/>
    <mergeCell ref="E19:H19"/>
    <mergeCell ref="L10:L37"/>
    <mergeCell ref="J59:K59"/>
    <mergeCell ref="C60:D60"/>
    <mergeCell ref="H59:I59"/>
    <mergeCell ref="H60:I60"/>
    <mergeCell ref="J60:K60"/>
    <mergeCell ref="H53:I53"/>
    <mergeCell ref="H54:I54"/>
    <mergeCell ref="J58:K58"/>
    <mergeCell ref="H49:I49"/>
    <mergeCell ref="J46:K46"/>
    <mergeCell ref="H57:I57"/>
    <mergeCell ref="C46:D46"/>
    <mergeCell ref="J50:K50"/>
  </mergeCells>
  <pageMargins left="0.75" right="0.75" top="1" bottom="1" header="0" footer="0"/>
  <pageSetup scale="45" orientation="landscape" r:id="rId1"/>
  <headerFooter alignWithMargins="0"/>
  <rowBreaks count="5" manualBreakCount="5">
    <brk id="29" max="16383" man="1"/>
    <brk id="58" max="16383" man="1"/>
    <brk id="88" max="16383" man="1"/>
    <brk id="116" max="16383" man="1"/>
    <brk id="144"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R61"/>
  <sheetViews>
    <sheetView topLeftCell="A40" workbookViewId="0">
      <selection activeCell="G14" sqref="G14"/>
    </sheetView>
  </sheetViews>
  <sheetFormatPr baseColWidth="10" defaultRowHeight="12.75" x14ac:dyDescent="0.2"/>
  <cols>
    <col min="1" max="1" width="24.5703125" style="185" bestFit="1" customWidth="1"/>
    <col min="2" max="2" width="19.7109375" style="185" customWidth="1"/>
    <col min="3" max="3" width="16.28515625" style="185" bestFit="1" customWidth="1"/>
    <col min="4" max="4" width="8.85546875" style="185" bestFit="1" customWidth="1"/>
    <col min="5" max="5" width="6.28515625" style="185" bestFit="1" customWidth="1"/>
    <col min="6" max="6" width="13.85546875" style="185" bestFit="1" customWidth="1"/>
    <col min="7" max="7" width="14" style="185" bestFit="1" customWidth="1"/>
    <col min="8" max="8" width="14.7109375" style="185" bestFit="1" customWidth="1"/>
    <col min="9" max="10" width="11.42578125" style="185"/>
    <col min="11" max="11" width="13.42578125" style="185" customWidth="1"/>
    <col min="12" max="13" width="11.42578125" style="185"/>
    <col min="14" max="14" width="3.42578125" style="185" customWidth="1"/>
    <col min="15" max="15" width="11" style="185" bestFit="1" customWidth="1"/>
    <col min="16" max="16" width="12.7109375" style="185" bestFit="1" customWidth="1"/>
    <col min="17" max="18" width="13.7109375" style="185" bestFit="1" customWidth="1"/>
    <col min="19" max="19" width="24.5703125" style="185" bestFit="1" customWidth="1"/>
    <col min="20" max="16384" width="11.42578125" style="185"/>
  </cols>
  <sheetData>
    <row r="1" spans="1:18" ht="13.5" thickBot="1" x14ac:dyDescent="0.25">
      <c r="B1" s="999" t="s">
        <v>550</v>
      </c>
      <c r="C1" s="1000"/>
      <c r="F1" s="231"/>
      <c r="G1" s="402"/>
      <c r="H1" s="402"/>
      <c r="I1" s="401"/>
      <c r="J1" s="401"/>
      <c r="K1" s="401"/>
      <c r="L1" s="401"/>
      <c r="M1" s="401"/>
      <c r="N1" s="401"/>
      <c r="O1" s="401"/>
    </row>
    <row r="2" spans="1:18" ht="33" customHeight="1" thickTop="1" thickBot="1" x14ac:dyDescent="0.25">
      <c r="B2" s="400">
        <f>+'PERFILES Referencia (2)'!D58</f>
        <v>0</v>
      </c>
      <c r="C2" s="399">
        <f>+'PERFILES Referencia (2)'!E58</f>
        <v>1.7</v>
      </c>
      <c r="D2" s="304"/>
      <c r="E2" s="304"/>
      <c r="F2" s="997" t="s">
        <v>384</v>
      </c>
      <c r="G2" s="998"/>
      <c r="H2" s="308"/>
      <c r="I2" s="307"/>
      <c r="J2" s="307"/>
      <c r="K2" s="307"/>
      <c r="L2" s="307"/>
      <c r="M2" s="307"/>
      <c r="N2" s="307"/>
      <c r="O2" s="307"/>
      <c r="P2" s="304"/>
      <c r="Q2" s="304"/>
      <c r="R2" s="304"/>
    </row>
    <row r="3" spans="1:18" ht="27.75" customHeight="1" thickTop="1" thickBot="1" x14ac:dyDescent="0.25">
      <c r="B3" s="398" t="s">
        <v>272</v>
      </c>
      <c r="C3" s="304"/>
      <c r="D3" s="304"/>
      <c r="E3" s="304"/>
      <c r="F3" s="1001" t="s">
        <v>383</v>
      </c>
      <c r="G3" s="1002"/>
      <c r="H3" s="997" t="s">
        <v>382</v>
      </c>
      <c r="I3" s="998"/>
      <c r="J3" s="997" t="s">
        <v>381</v>
      </c>
      <c r="K3" s="998"/>
      <c r="L3" s="997" t="s">
        <v>380</v>
      </c>
      <c r="M3" s="998"/>
    </row>
    <row r="4" spans="1:18" ht="14.25" thickTop="1" thickBot="1" x14ac:dyDescent="0.25">
      <c r="B4" s="292" t="s">
        <v>549</v>
      </c>
      <c r="C4" s="304"/>
      <c r="D4" s="1001" t="s">
        <v>374</v>
      </c>
      <c r="E4" s="1005"/>
      <c r="F4" s="1001" t="s">
        <v>373</v>
      </c>
      <c r="G4" s="1005"/>
      <c r="H4" s="291" t="s">
        <v>339</v>
      </c>
      <c r="I4" s="291" t="s">
        <v>291</v>
      </c>
      <c r="J4" s="1006" t="s">
        <v>339</v>
      </c>
      <c r="K4" s="1006" t="s">
        <v>291</v>
      </c>
      <c r="L4" s="291" t="s">
        <v>339</v>
      </c>
      <c r="M4" s="291" t="s">
        <v>291</v>
      </c>
    </row>
    <row r="5" spans="1:18" ht="14.25" thickTop="1" thickBot="1" x14ac:dyDescent="0.25">
      <c r="A5" s="1009" t="s">
        <v>338</v>
      </c>
      <c r="B5" s="292" t="s">
        <v>379</v>
      </c>
      <c r="C5" s="292" t="s">
        <v>378</v>
      </c>
      <c r="D5" s="397" t="s">
        <v>339</v>
      </c>
      <c r="E5" s="397" t="s">
        <v>291</v>
      </c>
      <c r="F5" s="397" t="s">
        <v>339</v>
      </c>
      <c r="G5" s="397" t="s">
        <v>291</v>
      </c>
      <c r="H5" s="1011" t="s">
        <v>377</v>
      </c>
      <c r="I5" s="1012"/>
      <c r="J5" s="1007"/>
      <c r="K5" s="1007"/>
      <c r="L5" s="1013" t="s">
        <v>27</v>
      </c>
      <c r="M5" s="1013"/>
    </row>
    <row r="6" spans="1:18" ht="14.25" thickTop="1" thickBot="1" x14ac:dyDescent="0.25">
      <c r="A6" s="1010"/>
      <c r="B6" s="292" t="s">
        <v>376</v>
      </c>
      <c r="C6" s="292"/>
      <c r="D6" s="396">
        <f>1.35+0.14</f>
        <v>1.4900000000000002</v>
      </c>
      <c r="E6" s="396">
        <f>1.35+0.54</f>
        <v>1.8900000000000001</v>
      </c>
      <c r="F6" s="396">
        <v>1.7</v>
      </c>
      <c r="G6" s="396">
        <v>2.1</v>
      </c>
      <c r="H6" s="395">
        <v>160</v>
      </c>
      <c r="I6" s="395">
        <v>160</v>
      </c>
      <c r="J6" s="1008"/>
      <c r="K6" s="1008"/>
      <c r="L6" s="306">
        <v>0.25</v>
      </c>
      <c r="M6" s="306">
        <v>0.25</v>
      </c>
    </row>
    <row r="7" spans="1:18" ht="14.25" thickTop="1" thickBot="1" x14ac:dyDescent="0.25">
      <c r="A7" s="305" t="str">
        <f t="shared" ref="A7:A27" si="0">+A35</f>
        <v>GERENTE DE PROYECTO SR.</v>
      </c>
      <c r="B7" s="370" t="e">
        <f>+#REF!*(1+$B$30)</f>
        <v>#REF!</v>
      </c>
      <c r="C7" s="370" t="s">
        <v>374</v>
      </c>
      <c r="D7" s="370"/>
      <c r="E7" s="370"/>
      <c r="F7" s="370" t="e">
        <f t="shared" ref="F7:F27" si="1">IF(C7="Integral",B7*D$6,B7*F$6)</f>
        <v>#REF!</v>
      </c>
      <c r="G7" s="370" t="e">
        <f t="shared" ref="G7:G27" si="2">IF(C7="Integral",B7*E$6,B7*G$6)</f>
        <v>#REF!</v>
      </c>
      <c r="H7" s="370" t="e">
        <f t="shared" ref="H7:H27" si="3">F7/$H$6</f>
        <v>#REF!</v>
      </c>
      <c r="I7" s="370" t="e">
        <f t="shared" ref="I7:I27" si="4">+G7/$I$6</f>
        <v>#REF!</v>
      </c>
      <c r="J7" s="370" t="e">
        <f t="shared" ref="J7:J27" si="5">+L7*$H$6</f>
        <v>#REF!</v>
      </c>
      <c r="K7" s="370" t="e">
        <f t="shared" ref="K7:K27" si="6">+M7*$I$6</f>
        <v>#REF!</v>
      </c>
      <c r="L7" s="370" t="e">
        <f t="shared" ref="L7:L27" si="7">+H7/(1-$L$6)</f>
        <v>#REF!</v>
      </c>
      <c r="M7" s="370" t="e">
        <f t="shared" ref="M7:M27" si="8">+I7/(1-$M$6)</f>
        <v>#REF!</v>
      </c>
      <c r="P7" s="209"/>
    </row>
    <row r="8" spans="1:18" ht="14.25" thickTop="1" thickBot="1" x14ac:dyDescent="0.25">
      <c r="A8" s="305" t="str">
        <f t="shared" si="0"/>
        <v>GERENTE DE PROYECTO</v>
      </c>
      <c r="B8" s="370" t="e">
        <f>+#REF!*(1+$B$30)</f>
        <v>#REF!</v>
      </c>
      <c r="C8" s="370" t="s">
        <v>374</v>
      </c>
      <c r="D8" s="370"/>
      <c r="E8" s="370"/>
      <c r="F8" s="370" t="e">
        <f t="shared" si="1"/>
        <v>#REF!</v>
      </c>
      <c r="G8" s="370" t="e">
        <f t="shared" si="2"/>
        <v>#REF!</v>
      </c>
      <c r="H8" s="370" t="e">
        <f t="shared" si="3"/>
        <v>#REF!</v>
      </c>
      <c r="I8" s="370" t="e">
        <f t="shared" si="4"/>
        <v>#REF!</v>
      </c>
      <c r="J8" s="370" t="e">
        <f t="shared" si="5"/>
        <v>#REF!</v>
      </c>
      <c r="K8" s="370" t="e">
        <f t="shared" si="6"/>
        <v>#REF!</v>
      </c>
      <c r="L8" s="370" t="e">
        <f t="shared" si="7"/>
        <v>#REF!</v>
      </c>
      <c r="M8" s="370" t="e">
        <f t="shared" si="8"/>
        <v>#REF!</v>
      </c>
      <c r="P8" s="209"/>
    </row>
    <row r="9" spans="1:18" ht="14.25" thickTop="1" thickBot="1" x14ac:dyDescent="0.25">
      <c r="A9" s="305" t="str">
        <f t="shared" si="0"/>
        <v>DBA 1</v>
      </c>
      <c r="B9" s="370" t="e">
        <f>+#REF!*(1+$B$30)</f>
        <v>#REF!</v>
      </c>
      <c r="C9" s="370" t="s">
        <v>373</v>
      </c>
      <c r="D9" s="370"/>
      <c r="E9" s="370"/>
      <c r="F9" s="370" t="e">
        <f t="shared" si="1"/>
        <v>#REF!</v>
      </c>
      <c r="G9" s="370" t="e">
        <f t="shared" si="2"/>
        <v>#REF!</v>
      </c>
      <c r="H9" s="370" t="e">
        <f t="shared" si="3"/>
        <v>#REF!</v>
      </c>
      <c r="I9" s="370" t="e">
        <f t="shared" si="4"/>
        <v>#REF!</v>
      </c>
      <c r="J9" s="370" t="e">
        <f t="shared" si="5"/>
        <v>#REF!</v>
      </c>
      <c r="K9" s="370" t="e">
        <f t="shared" si="6"/>
        <v>#REF!</v>
      </c>
      <c r="L9" s="370" t="e">
        <f t="shared" si="7"/>
        <v>#REF!</v>
      </c>
      <c r="M9" s="370" t="e">
        <f t="shared" si="8"/>
        <v>#REF!</v>
      </c>
    </row>
    <row r="10" spans="1:18" ht="14.25" thickTop="1" thickBot="1" x14ac:dyDescent="0.25">
      <c r="A10" s="305" t="str">
        <f t="shared" si="0"/>
        <v>DBA 2</v>
      </c>
      <c r="B10" s="370" t="e">
        <f>+B9</f>
        <v>#REF!</v>
      </c>
      <c r="C10" s="370" t="s">
        <v>373</v>
      </c>
      <c r="D10" s="370"/>
      <c r="E10" s="370"/>
      <c r="F10" s="370" t="e">
        <f t="shared" si="1"/>
        <v>#REF!</v>
      </c>
      <c r="G10" s="370" t="e">
        <f t="shared" si="2"/>
        <v>#REF!</v>
      </c>
      <c r="H10" s="370" t="e">
        <f t="shared" si="3"/>
        <v>#REF!</v>
      </c>
      <c r="I10" s="370" t="e">
        <f t="shared" si="4"/>
        <v>#REF!</v>
      </c>
      <c r="J10" s="370" t="e">
        <f t="shared" si="5"/>
        <v>#REF!</v>
      </c>
      <c r="K10" s="370" t="e">
        <f t="shared" si="6"/>
        <v>#REF!</v>
      </c>
      <c r="L10" s="370" t="e">
        <f t="shared" si="7"/>
        <v>#REF!</v>
      </c>
      <c r="M10" s="370" t="e">
        <f t="shared" si="8"/>
        <v>#REF!</v>
      </c>
    </row>
    <row r="11" spans="1:18" ht="14.25" thickTop="1" thickBot="1" x14ac:dyDescent="0.25">
      <c r="A11" s="305" t="str">
        <f t="shared" si="0"/>
        <v>CONSULTOR RATIONAL SR.2</v>
      </c>
      <c r="B11" s="370" t="e">
        <f>+#REF!*(1+$B$30)</f>
        <v>#REF!</v>
      </c>
      <c r="C11" s="370" t="s">
        <v>373</v>
      </c>
      <c r="D11" s="370"/>
      <c r="E11" s="370"/>
      <c r="F11" s="370" t="e">
        <f t="shared" si="1"/>
        <v>#REF!</v>
      </c>
      <c r="G11" s="370" t="e">
        <f t="shared" si="2"/>
        <v>#REF!</v>
      </c>
      <c r="H11" s="370" t="e">
        <f t="shared" si="3"/>
        <v>#REF!</v>
      </c>
      <c r="I11" s="370" t="e">
        <f t="shared" si="4"/>
        <v>#REF!</v>
      </c>
      <c r="J11" s="370" t="e">
        <f t="shared" si="5"/>
        <v>#REF!</v>
      </c>
      <c r="K11" s="370" t="e">
        <f t="shared" si="6"/>
        <v>#REF!</v>
      </c>
      <c r="L11" s="370" t="e">
        <f t="shared" si="7"/>
        <v>#REF!</v>
      </c>
      <c r="M11" s="370" t="e">
        <f t="shared" si="8"/>
        <v>#REF!</v>
      </c>
    </row>
    <row r="12" spans="1:18" ht="14.25" thickTop="1" thickBot="1" x14ac:dyDescent="0.25">
      <c r="A12" s="305" t="str">
        <f t="shared" si="0"/>
        <v>CONSULTOR RATIONAL JR.</v>
      </c>
      <c r="B12" s="370" t="e">
        <f>+#REF!*(1+$B$30)</f>
        <v>#REF!</v>
      </c>
      <c r="C12" s="394" t="s">
        <v>548</v>
      </c>
      <c r="D12" s="394"/>
      <c r="E12" s="394"/>
      <c r="F12" s="394" t="e">
        <f t="shared" si="1"/>
        <v>#REF!</v>
      </c>
      <c r="G12" s="394" t="e">
        <f t="shared" si="2"/>
        <v>#REF!</v>
      </c>
      <c r="H12" s="394" t="e">
        <f t="shared" si="3"/>
        <v>#REF!</v>
      </c>
      <c r="I12" s="394" t="e">
        <f t="shared" si="4"/>
        <v>#REF!</v>
      </c>
      <c r="J12" s="394" t="e">
        <f t="shared" si="5"/>
        <v>#REF!</v>
      </c>
      <c r="K12" s="394" t="e">
        <f t="shared" si="6"/>
        <v>#REF!</v>
      </c>
      <c r="L12" s="394" t="e">
        <f t="shared" si="7"/>
        <v>#REF!</v>
      </c>
      <c r="M12" s="394" t="e">
        <f t="shared" si="8"/>
        <v>#REF!</v>
      </c>
      <c r="P12" s="209"/>
    </row>
    <row r="13" spans="1:18" ht="14.25" thickTop="1" thickBot="1" x14ac:dyDescent="0.25">
      <c r="A13" s="305" t="str">
        <f t="shared" si="0"/>
        <v>ARQUITECTO SR.1</v>
      </c>
      <c r="B13" s="370" t="e">
        <f>+#REF!*(1+$B$30)</f>
        <v>#REF!</v>
      </c>
      <c r="C13" s="370" t="s">
        <v>374</v>
      </c>
      <c r="D13" s="370"/>
      <c r="E13" s="370"/>
      <c r="F13" s="370" t="e">
        <f t="shared" si="1"/>
        <v>#REF!</v>
      </c>
      <c r="G13" s="370" t="e">
        <f t="shared" si="2"/>
        <v>#REF!</v>
      </c>
      <c r="H13" s="370" t="e">
        <f t="shared" si="3"/>
        <v>#REF!</v>
      </c>
      <c r="I13" s="370" t="e">
        <f t="shared" si="4"/>
        <v>#REF!</v>
      </c>
      <c r="J13" s="370" t="e">
        <f t="shared" si="5"/>
        <v>#REF!</v>
      </c>
      <c r="K13" s="370" t="e">
        <f t="shared" si="6"/>
        <v>#REF!</v>
      </c>
      <c r="L13" s="370" t="e">
        <f t="shared" si="7"/>
        <v>#REF!</v>
      </c>
      <c r="M13" s="370" t="e">
        <f t="shared" si="8"/>
        <v>#REF!</v>
      </c>
    </row>
    <row r="14" spans="1:18" ht="14.25" thickTop="1" thickBot="1" x14ac:dyDescent="0.25">
      <c r="A14" s="305" t="str">
        <f t="shared" si="0"/>
        <v>ARQUITECTO JR.</v>
      </c>
      <c r="B14" s="370" t="e">
        <f>+#REF!*(1+$B$30)</f>
        <v>#REF!</v>
      </c>
      <c r="C14" s="370" t="s">
        <v>373</v>
      </c>
      <c r="D14" s="370"/>
      <c r="E14" s="370"/>
      <c r="F14" s="370" t="e">
        <f t="shared" si="1"/>
        <v>#REF!</v>
      </c>
      <c r="G14" s="370" t="e">
        <f t="shared" si="2"/>
        <v>#REF!</v>
      </c>
      <c r="H14" s="370" t="e">
        <f t="shared" si="3"/>
        <v>#REF!</v>
      </c>
      <c r="I14" s="370" t="e">
        <f t="shared" si="4"/>
        <v>#REF!</v>
      </c>
      <c r="J14" s="370" t="e">
        <f t="shared" si="5"/>
        <v>#REF!</v>
      </c>
      <c r="K14" s="370" t="e">
        <f t="shared" si="6"/>
        <v>#REF!</v>
      </c>
      <c r="L14" s="370" t="e">
        <f t="shared" si="7"/>
        <v>#REF!</v>
      </c>
      <c r="M14" s="370" t="e">
        <f t="shared" si="8"/>
        <v>#REF!</v>
      </c>
      <c r="P14" s="209"/>
    </row>
    <row r="15" spans="1:18" ht="14.25" thickTop="1" thickBot="1" x14ac:dyDescent="0.25">
      <c r="A15" s="305" t="str">
        <f t="shared" si="0"/>
        <v>COORDINADOR DESARROLLO</v>
      </c>
      <c r="B15" s="370" t="e">
        <f>+#REF!*(1+$B$30)</f>
        <v>#REF!</v>
      </c>
      <c r="C15" s="370" t="s">
        <v>373</v>
      </c>
      <c r="D15" s="370"/>
      <c r="E15" s="370"/>
      <c r="F15" s="370" t="e">
        <f t="shared" si="1"/>
        <v>#REF!</v>
      </c>
      <c r="G15" s="370" t="e">
        <f t="shared" si="2"/>
        <v>#REF!</v>
      </c>
      <c r="H15" s="370" t="e">
        <f t="shared" si="3"/>
        <v>#REF!</v>
      </c>
      <c r="I15" s="370" t="e">
        <f t="shared" si="4"/>
        <v>#REF!</v>
      </c>
      <c r="J15" s="370" t="e">
        <f t="shared" si="5"/>
        <v>#REF!</v>
      </c>
      <c r="K15" s="370" t="e">
        <f t="shared" si="6"/>
        <v>#REF!</v>
      </c>
      <c r="L15" s="370" t="e">
        <f t="shared" si="7"/>
        <v>#REF!</v>
      </c>
      <c r="M15" s="370" t="e">
        <f t="shared" si="8"/>
        <v>#REF!</v>
      </c>
      <c r="P15" s="194"/>
    </row>
    <row r="16" spans="1:18" ht="14.25" thickTop="1" thickBot="1" x14ac:dyDescent="0.25">
      <c r="A16" s="305" t="str">
        <f t="shared" si="0"/>
        <v>LIDER TECNICO</v>
      </c>
      <c r="B16" s="370" t="e">
        <f>+#REF!*(1+$B$30)</f>
        <v>#REF!</v>
      </c>
      <c r="C16" s="370" t="s">
        <v>373</v>
      </c>
      <c r="D16" s="370"/>
      <c r="E16" s="370"/>
      <c r="F16" s="370" t="e">
        <f t="shared" si="1"/>
        <v>#REF!</v>
      </c>
      <c r="G16" s="370" t="e">
        <f t="shared" si="2"/>
        <v>#REF!</v>
      </c>
      <c r="H16" s="370" t="e">
        <f t="shared" si="3"/>
        <v>#REF!</v>
      </c>
      <c r="I16" s="370" t="e">
        <f t="shared" si="4"/>
        <v>#REF!</v>
      </c>
      <c r="J16" s="370" t="e">
        <f t="shared" si="5"/>
        <v>#REF!</v>
      </c>
      <c r="K16" s="370" t="e">
        <f t="shared" si="6"/>
        <v>#REF!</v>
      </c>
      <c r="L16" s="370" t="e">
        <f t="shared" si="7"/>
        <v>#REF!</v>
      </c>
      <c r="M16" s="370" t="e">
        <f t="shared" si="8"/>
        <v>#REF!</v>
      </c>
    </row>
    <row r="17" spans="1:13" ht="14.25" thickTop="1" thickBot="1" x14ac:dyDescent="0.25">
      <c r="A17" s="305" t="str">
        <f t="shared" si="0"/>
        <v>ANALISTA REQ. SR.</v>
      </c>
      <c r="B17" s="370" t="e">
        <f>+#REF!*(1+$B$30)</f>
        <v>#REF!</v>
      </c>
      <c r="C17" s="370" t="s">
        <v>373</v>
      </c>
      <c r="D17" s="370"/>
      <c r="E17" s="370"/>
      <c r="F17" s="370" t="e">
        <f t="shared" si="1"/>
        <v>#REF!</v>
      </c>
      <c r="G17" s="370" t="e">
        <f t="shared" si="2"/>
        <v>#REF!</v>
      </c>
      <c r="H17" s="370" t="e">
        <f t="shared" si="3"/>
        <v>#REF!</v>
      </c>
      <c r="I17" s="370" t="e">
        <f t="shared" si="4"/>
        <v>#REF!</v>
      </c>
      <c r="J17" s="370" t="e">
        <f t="shared" si="5"/>
        <v>#REF!</v>
      </c>
      <c r="K17" s="370" t="e">
        <f t="shared" si="6"/>
        <v>#REF!</v>
      </c>
      <c r="L17" s="370" t="e">
        <f t="shared" si="7"/>
        <v>#REF!</v>
      </c>
      <c r="M17" s="370" t="e">
        <f t="shared" si="8"/>
        <v>#REF!</v>
      </c>
    </row>
    <row r="18" spans="1:13" ht="14.25" thickTop="1" thickBot="1" x14ac:dyDescent="0.25">
      <c r="A18" s="305" t="str">
        <f t="shared" si="0"/>
        <v>ANALISTA REQ. JR.</v>
      </c>
      <c r="B18" s="370" t="e">
        <f>+#REF!*(1+$B$30)</f>
        <v>#REF!</v>
      </c>
      <c r="C18" s="370" t="s">
        <v>373</v>
      </c>
      <c r="D18" s="370"/>
      <c r="E18" s="370"/>
      <c r="F18" s="370" t="e">
        <f t="shared" si="1"/>
        <v>#REF!</v>
      </c>
      <c r="G18" s="370" t="e">
        <f t="shared" si="2"/>
        <v>#REF!</v>
      </c>
      <c r="H18" s="370" t="e">
        <f t="shared" si="3"/>
        <v>#REF!</v>
      </c>
      <c r="I18" s="370" t="e">
        <f t="shared" si="4"/>
        <v>#REF!</v>
      </c>
      <c r="J18" s="370" t="e">
        <f t="shared" si="5"/>
        <v>#REF!</v>
      </c>
      <c r="K18" s="370" t="e">
        <f t="shared" si="6"/>
        <v>#REF!</v>
      </c>
      <c r="L18" s="370" t="e">
        <f t="shared" si="7"/>
        <v>#REF!</v>
      </c>
      <c r="M18" s="370" t="e">
        <f t="shared" si="8"/>
        <v>#REF!</v>
      </c>
    </row>
    <row r="19" spans="1:13" ht="14.25" thickTop="1" thickBot="1" x14ac:dyDescent="0.25">
      <c r="A19" s="305" t="str">
        <f t="shared" si="0"/>
        <v>LIDER DE PRUEBAS SR.</v>
      </c>
      <c r="B19" s="370" t="e">
        <f>+#REF!*(1+$B$30)</f>
        <v>#REF!</v>
      </c>
      <c r="C19" s="370" t="s">
        <v>374</v>
      </c>
      <c r="D19" s="370"/>
      <c r="E19" s="370"/>
      <c r="F19" s="370" t="e">
        <f t="shared" si="1"/>
        <v>#REF!</v>
      </c>
      <c r="G19" s="370" t="e">
        <f t="shared" si="2"/>
        <v>#REF!</v>
      </c>
      <c r="H19" s="370" t="e">
        <f t="shared" si="3"/>
        <v>#REF!</v>
      </c>
      <c r="I19" s="370" t="e">
        <f t="shared" si="4"/>
        <v>#REF!</v>
      </c>
      <c r="J19" s="370" t="e">
        <f t="shared" si="5"/>
        <v>#REF!</v>
      </c>
      <c r="K19" s="370" t="e">
        <f t="shared" si="6"/>
        <v>#REF!</v>
      </c>
      <c r="L19" s="370" t="e">
        <f t="shared" si="7"/>
        <v>#REF!</v>
      </c>
      <c r="M19" s="370" t="e">
        <f t="shared" si="8"/>
        <v>#REF!</v>
      </c>
    </row>
    <row r="20" spans="1:13" ht="14.25" thickTop="1" thickBot="1" x14ac:dyDescent="0.25">
      <c r="A20" s="305" t="str">
        <f t="shared" si="0"/>
        <v>LIDER DE PRUEBAS JR.</v>
      </c>
      <c r="B20" s="370" t="e">
        <f>+#REF!*(1+$B$30)</f>
        <v>#REF!</v>
      </c>
      <c r="C20" s="370" t="s">
        <v>373</v>
      </c>
      <c r="D20" s="370"/>
      <c r="E20" s="370"/>
      <c r="F20" s="370" t="e">
        <f t="shared" si="1"/>
        <v>#REF!</v>
      </c>
      <c r="G20" s="370" t="e">
        <f t="shared" si="2"/>
        <v>#REF!</v>
      </c>
      <c r="H20" s="370" t="e">
        <f t="shared" si="3"/>
        <v>#REF!</v>
      </c>
      <c r="I20" s="370" t="e">
        <f t="shared" si="4"/>
        <v>#REF!</v>
      </c>
      <c r="J20" s="370" t="e">
        <f t="shared" si="5"/>
        <v>#REF!</v>
      </c>
      <c r="K20" s="370" t="e">
        <f t="shared" si="6"/>
        <v>#REF!</v>
      </c>
      <c r="L20" s="370" t="e">
        <f t="shared" si="7"/>
        <v>#REF!</v>
      </c>
      <c r="M20" s="370" t="e">
        <f t="shared" si="8"/>
        <v>#REF!</v>
      </c>
    </row>
    <row r="21" spans="1:13" ht="14.25" thickTop="1" thickBot="1" x14ac:dyDescent="0.25">
      <c r="A21" s="305" t="str">
        <f t="shared" si="0"/>
        <v>ADM. CONFIGURACION</v>
      </c>
      <c r="B21" s="370" t="e">
        <f>+#REF!*(1+$B$30)</f>
        <v>#REF!</v>
      </c>
      <c r="C21" s="370" t="s">
        <v>373</v>
      </c>
      <c r="D21" s="370"/>
      <c r="E21" s="370"/>
      <c r="F21" s="370" t="e">
        <f t="shared" si="1"/>
        <v>#REF!</v>
      </c>
      <c r="G21" s="370" t="e">
        <f t="shared" si="2"/>
        <v>#REF!</v>
      </c>
      <c r="H21" s="370" t="e">
        <f t="shared" si="3"/>
        <v>#REF!</v>
      </c>
      <c r="I21" s="370" t="e">
        <f t="shared" si="4"/>
        <v>#REF!</v>
      </c>
      <c r="J21" s="370" t="e">
        <f t="shared" si="5"/>
        <v>#REF!</v>
      </c>
      <c r="K21" s="370" t="e">
        <f t="shared" si="6"/>
        <v>#REF!</v>
      </c>
      <c r="L21" s="370" t="e">
        <f t="shared" si="7"/>
        <v>#REF!</v>
      </c>
      <c r="M21" s="370" t="e">
        <f t="shared" si="8"/>
        <v>#REF!</v>
      </c>
    </row>
    <row r="22" spans="1:13" ht="14.25" thickTop="1" thickBot="1" x14ac:dyDescent="0.25">
      <c r="A22" s="305" t="str">
        <f t="shared" si="0"/>
        <v>DOCUMENTADOR</v>
      </c>
      <c r="B22" s="370" t="e">
        <f>+#REF!*(1+$B$30)</f>
        <v>#REF!</v>
      </c>
      <c r="C22" s="370" t="s">
        <v>373</v>
      </c>
      <c r="D22" s="370"/>
      <c r="E22" s="370"/>
      <c r="F22" s="370" t="e">
        <f t="shared" si="1"/>
        <v>#REF!</v>
      </c>
      <c r="G22" s="370" t="e">
        <f t="shared" si="2"/>
        <v>#REF!</v>
      </c>
      <c r="H22" s="370" t="e">
        <f t="shared" si="3"/>
        <v>#REF!</v>
      </c>
      <c r="I22" s="370" t="e">
        <f t="shared" si="4"/>
        <v>#REF!</v>
      </c>
      <c r="J22" s="370" t="e">
        <f t="shared" si="5"/>
        <v>#REF!</v>
      </c>
      <c r="K22" s="370" t="e">
        <f t="shared" si="6"/>
        <v>#REF!</v>
      </c>
      <c r="L22" s="370" t="e">
        <f t="shared" si="7"/>
        <v>#REF!</v>
      </c>
      <c r="M22" s="370" t="e">
        <f t="shared" si="8"/>
        <v>#REF!</v>
      </c>
    </row>
    <row r="23" spans="1:13" ht="14.25" thickTop="1" thickBot="1" x14ac:dyDescent="0.25">
      <c r="A23" s="305" t="str">
        <f t="shared" si="0"/>
        <v>ANALISTA DE PRUEBAS  SR.</v>
      </c>
      <c r="B23" s="370" t="e">
        <f>+#REF!*(1+$B$30)</f>
        <v>#REF!</v>
      </c>
      <c r="C23" s="370" t="s">
        <v>373</v>
      </c>
      <c r="D23" s="370"/>
      <c r="E23" s="370"/>
      <c r="F23" s="370" t="e">
        <f t="shared" si="1"/>
        <v>#REF!</v>
      </c>
      <c r="G23" s="370" t="e">
        <f t="shared" si="2"/>
        <v>#REF!</v>
      </c>
      <c r="H23" s="370" t="e">
        <f t="shared" si="3"/>
        <v>#REF!</v>
      </c>
      <c r="I23" s="370" t="e">
        <f t="shared" si="4"/>
        <v>#REF!</v>
      </c>
      <c r="J23" s="370" t="e">
        <f t="shared" si="5"/>
        <v>#REF!</v>
      </c>
      <c r="K23" s="370" t="e">
        <f t="shared" si="6"/>
        <v>#REF!</v>
      </c>
      <c r="L23" s="370" t="e">
        <f t="shared" si="7"/>
        <v>#REF!</v>
      </c>
      <c r="M23" s="370" t="e">
        <f t="shared" si="8"/>
        <v>#REF!</v>
      </c>
    </row>
    <row r="24" spans="1:13" ht="14.25" thickTop="1" thickBot="1" x14ac:dyDescent="0.25">
      <c r="A24" s="305" t="str">
        <f t="shared" si="0"/>
        <v>ANALISTA DE PRUEBAS JR.</v>
      </c>
      <c r="B24" s="370" t="e">
        <f>+#REF!*(1+$B$30)</f>
        <v>#REF!</v>
      </c>
      <c r="C24" s="370" t="s">
        <v>373</v>
      </c>
      <c r="D24" s="370"/>
      <c r="E24" s="370"/>
      <c r="F24" s="370" t="e">
        <f t="shared" si="1"/>
        <v>#REF!</v>
      </c>
      <c r="G24" s="370" t="e">
        <f t="shared" si="2"/>
        <v>#REF!</v>
      </c>
      <c r="H24" s="370" t="e">
        <f t="shared" si="3"/>
        <v>#REF!</v>
      </c>
      <c r="I24" s="370" t="e">
        <f t="shared" si="4"/>
        <v>#REF!</v>
      </c>
      <c r="J24" s="370" t="e">
        <f t="shared" si="5"/>
        <v>#REF!</v>
      </c>
      <c r="K24" s="370" t="e">
        <f t="shared" si="6"/>
        <v>#REF!</v>
      </c>
      <c r="L24" s="370" t="e">
        <f t="shared" si="7"/>
        <v>#REF!</v>
      </c>
      <c r="M24" s="370" t="e">
        <f t="shared" si="8"/>
        <v>#REF!</v>
      </c>
    </row>
    <row r="25" spans="1:13" ht="14.25" thickTop="1" thickBot="1" x14ac:dyDescent="0.25">
      <c r="A25" s="305" t="str">
        <f t="shared" si="0"/>
        <v>ANALISTA PROGRAMADOR SR.</v>
      </c>
      <c r="B25" s="370">
        <v>3982875</v>
      </c>
      <c r="C25" s="370" t="s">
        <v>373</v>
      </c>
      <c r="D25" s="370"/>
      <c r="E25" s="370"/>
      <c r="F25" s="370">
        <f t="shared" si="1"/>
        <v>6770887.5</v>
      </c>
      <c r="G25" s="370">
        <f t="shared" si="2"/>
        <v>8364037.5</v>
      </c>
      <c r="H25" s="370">
        <f t="shared" si="3"/>
        <v>42318.046875</v>
      </c>
      <c r="I25" s="370">
        <f t="shared" si="4"/>
        <v>52275.234375</v>
      </c>
      <c r="J25" s="370">
        <f t="shared" si="5"/>
        <v>9027850</v>
      </c>
      <c r="K25" s="370">
        <f t="shared" si="6"/>
        <v>11152050</v>
      </c>
      <c r="L25" s="370">
        <f t="shared" si="7"/>
        <v>56424.0625</v>
      </c>
      <c r="M25" s="370">
        <f t="shared" si="8"/>
        <v>69700.3125</v>
      </c>
    </row>
    <row r="26" spans="1:13" ht="14.25" thickTop="1" thickBot="1" x14ac:dyDescent="0.25">
      <c r="A26" s="305" t="str">
        <f t="shared" si="0"/>
        <v>ANALISTA PROGRAMADOR JR</v>
      </c>
      <c r="B26" s="370" t="e">
        <f>+#REF!*(1+$B$30)</f>
        <v>#REF!</v>
      </c>
      <c r="C26" s="370" t="s">
        <v>373</v>
      </c>
      <c r="D26" s="370"/>
      <c r="E26" s="370"/>
      <c r="F26" s="370" t="e">
        <f t="shared" si="1"/>
        <v>#REF!</v>
      </c>
      <c r="G26" s="370" t="e">
        <f t="shared" si="2"/>
        <v>#REF!</v>
      </c>
      <c r="H26" s="370" t="e">
        <f t="shared" si="3"/>
        <v>#REF!</v>
      </c>
      <c r="I26" s="370" t="e">
        <f t="shared" si="4"/>
        <v>#REF!</v>
      </c>
      <c r="J26" s="370" t="e">
        <f t="shared" si="5"/>
        <v>#REF!</v>
      </c>
      <c r="K26" s="370" t="e">
        <f t="shared" si="6"/>
        <v>#REF!</v>
      </c>
      <c r="L26" s="370" t="e">
        <f t="shared" si="7"/>
        <v>#REF!</v>
      </c>
      <c r="M26" s="370" t="e">
        <f t="shared" si="8"/>
        <v>#REF!</v>
      </c>
    </row>
    <row r="27" spans="1:13" ht="14.25" thickTop="1" thickBot="1" x14ac:dyDescent="0.25">
      <c r="A27" s="305" t="str">
        <f t="shared" si="0"/>
        <v>ANALISTA PROG. ARMENIA</v>
      </c>
      <c r="B27" s="370" t="e">
        <f>+#REF!*(1+$B$30)</f>
        <v>#REF!</v>
      </c>
      <c r="C27" s="370" t="s">
        <v>373</v>
      </c>
      <c r="D27" s="370"/>
      <c r="E27" s="370"/>
      <c r="F27" s="370" t="e">
        <f t="shared" si="1"/>
        <v>#REF!</v>
      </c>
      <c r="G27" s="370" t="e">
        <f t="shared" si="2"/>
        <v>#REF!</v>
      </c>
      <c r="H27" s="370" t="e">
        <f t="shared" si="3"/>
        <v>#REF!</v>
      </c>
      <c r="I27" s="370" t="e">
        <f t="shared" si="4"/>
        <v>#REF!</v>
      </c>
      <c r="J27" s="370" t="e">
        <f t="shared" si="5"/>
        <v>#REF!</v>
      </c>
      <c r="K27" s="370" t="e">
        <f t="shared" si="6"/>
        <v>#REF!</v>
      </c>
      <c r="L27" s="370" t="e">
        <f t="shared" si="7"/>
        <v>#REF!</v>
      </c>
      <c r="M27" s="370" t="e">
        <f t="shared" si="8"/>
        <v>#REF!</v>
      </c>
    </row>
    <row r="28" spans="1:13" ht="14.25" thickTop="1" thickBot="1" x14ac:dyDescent="0.25"/>
    <row r="29" spans="1:13" ht="16.5" thickTop="1" thickBot="1" x14ac:dyDescent="0.3">
      <c r="A29" s="393" t="s">
        <v>547</v>
      </c>
      <c r="B29" s="392">
        <v>0</v>
      </c>
      <c r="C29" s="1014" t="s">
        <v>545</v>
      </c>
      <c r="D29" s="1015"/>
    </row>
    <row r="30" spans="1:13" ht="16.5" thickTop="1" thickBot="1" x14ac:dyDescent="0.3">
      <c r="A30" s="391" t="s">
        <v>546</v>
      </c>
      <c r="B30" s="390">
        <v>0</v>
      </c>
      <c r="C30" s="1016" t="s">
        <v>545</v>
      </c>
      <c r="D30" s="1017"/>
      <c r="E30" s="389"/>
      <c r="F30" s="185">
        <v>1.56</v>
      </c>
      <c r="G30" s="185">
        <v>1.56</v>
      </c>
    </row>
    <row r="31" spans="1:13" ht="14.25" thickTop="1" thickBot="1" x14ac:dyDescent="0.25">
      <c r="A31" s="386" t="s">
        <v>544</v>
      </c>
      <c r="B31" s="388">
        <v>0</v>
      </c>
      <c r="C31" s="384"/>
      <c r="D31" s="384"/>
      <c r="E31" s="384"/>
      <c r="F31" s="198">
        <f>F6-F30</f>
        <v>0.1399999999999999</v>
      </c>
      <c r="G31" s="198">
        <f>G6-G30</f>
        <v>0.54</v>
      </c>
      <c r="L31" s="997" t="s">
        <v>543</v>
      </c>
      <c r="M31" s="998"/>
    </row>
    <row r="32" spans="1:13" ht="14.25" thickTop="1" thickBot="1" x14ac:dyDescent="0.25">
      <c r="A32" s="386" t="s">
        <v>542</v>
      </c>
      <c r="B32" s="385" t="e">
        <f>+#REF!</f>
        <v>#REF!</v>
      </c>
      <c r="C32" s="384"/>
      <c r="D32" s="384"/>
      <c r="E32" s="384"/>
      <c r="F32" s="387"/>
      <c r="G32" s="387"/>
      <c r="L32" s="291" t="s">
        <v>339</v>
      </c>
      <c r="M32" s="291" t="s">
        <v>541</v>
      </c>
    </row>
    <row r="33" spans="1:13" ht="14.25" thickTop="1" thickBot="1" x14ac:dyDescent="0.25">
      <c r="A33" s="386" t="s">
        <v>540</v>
      </c>
      <c r="B33" s="385">
        <v>0</v>
      </c>
      <c r="C33" s="384">
        <v>5.6899999999999999E-2</v>
      </c>
      <c r="D33" s="384"/>
      <c r="E33" s="384"/>
      <c r="L33" s="1018" t="s">
        <v>539</v>
      </c>
      <c r="M33" s="1019"/>
    </row>
    <row r="34" spans="1:13" ht="14.25" thickTop="1" thickBot="1" x14ac:dyDescent="0.25">
      <c r="A34" s="1003" t="s">
        <v>538</v>
      </c>
      <c r="B34" s="1004"/>
      <c r="C34" s="383"/>
      <c r="D34" s="383">
        <v>2008</v>
      </c>
      <c r="E34" s="383" t="s">
        <v>537</v>
      </c>
      <c r="F34" s="187" t="s">
        <v>536</v>
      </c>
      <c r="G34" s="187"/>
      <c r="H34" s="187" t="s">
        <v>535</v>
      </c>
      <c r="J34" s="382" t="s">
        <v>534</v>
      </c>
      <c r="K34" s="381"/>
      <c r="L34" s="380">
        <v>2000</v>
      </c>
      <c r="M34" s="380">
        <v>2000</v>
      </c>
    </row>
    <row r="35" spans="1:13" ht="14.25" thickTop="1" thickBot="1" x14ac:dyDescent="0.25">
      <c r="A35" s="305" t="s">
        <v>215</v>
      </c>
      <c r="B35" s="370">
        <f>+H35</f>
        <v>8000000</v>
      </c>
      <c r="C35" s="377">
        <v>6000000</v>
      </c>
      <c r="D35" s="372">
        <f t="shared" ref="D35:D55" si="9">+C35*(1+$C$33)</f>
        <v>6341400</v>
      </c>
      <c r="E35" s="372"/>
      <c r="F35" s="209">
        <v>0.26200000000000001</v>
      </c>
      <c r="G35" s="370">
        <f t="shared" ref="G35:G55" si="10">+B35*(1+F35)</f>
        <v>10096000</v>
      </c>
      <c r="H35" s="290">
        <v>8000000</v>
      </c>
      <c r="J35" s="1020" t="s">
        <v>215</v>
      </c>
      <c r="K35" s="1021"/>
      <c r="L35" s="369" t="e">
        <f>+L7/$L$34</f>
        <v>#REF!</v>
      </c>
      <c r="M35" s="369" t="e">
        <f>+M7/$M$34</f>
        <v>#REF!</v>
      </c>
    </row>
    <row r="36" spans="1:13" ht="14.25" thickTop="1" thickBot="1" x14ac:dyDescent="0.25">
      <c r="A36" s="305" t="s">
        <v>216</v>
      </c>
      <c r="B36" s="370">
        <f>+H36</f>
        <v>6000000</v>
      </c>
      <c r="C36" s="377">
        <v>5000000</v>
      </c>
      <c r="D36" s="372">
        <f t="shared" si="9"/>
        <v>5284500</v>
      </c>
      <c r="E36" s="372"/>
      <c r="F36" s="209">
        <v>0.13500000000000001</v>
      </c>
      <c r="G36" s="370">
        <f t="shared" si="10"/>
        <v>6810000</v>
      </c>
      <c r="H36" s="290">
        <v>6000000</v>
      </c>
      <c r="J36" s="374"/>
      <c r="K36" s="373"/>
      <c r="L36" s="369"/>
      <c r="M36" s="369"/>
    </row>
    <row r="37" spans="1:13" ht="14.25" thickTop="1" thickBot="1" x14ac:dyDescent="0.25">
      <c r="A37" s="379" t="s">
        <v>375</v>
      </c>
      <c r="B37" s="370">
        <f>+B39</f>
        <v>5500000</v>
      </c>
      <c r="C37" s="372">
        <v>4500000</v>
      </c>
      <c r="D37" s="372">
        <f t="shared" si="9"/>
        <v>4756050</v>
      </c>
      <c r="E37" s="372"/>
      <c r="F37" s="209">
        <v>0.13500000000000001</v>
      </c>
      <c r="G37" s="370">
        <f t="shared" si="10"/>
        <v>6242500</v>
      </c>
      <c r="H37" s="370"/>
      <c r="J37" s="1020" t="s">
        <v>533</v>
      </c>
      <c r="K37" s="1021"/>
      <c r="L37" s="369" t="e">
        <f>+L9/$L$34</f>
        <v>#REF!</v>
      </c>
      <c r="M37" s="369" t="e">
        <f>+M9/$M$34</f>
        <v>#REF!</v>
      </c>
    </row>
    <row r="38" spans="1:13" ht="14.25" thickTop="1" thickBot="1" x14ac:dyDescent="0.25">
      <c r="A38" s="378" t="s">
        <v>532</v>
      </c>
      <c r="B38" s="309">
        <f>+B39</f>
        <v>5500000</v>
      </c>
      <c r="C38" s="377">
        <v>6000000</v>
      </c>
      <c r="D38" s="372">
        <f t="shared" si="9"/>
        <v>6341400</v>
      </c>
      <c r="E38" s="372"/>
      <c r="F38" s="209">
        <v>0.25</v>
      </c>
      <c r="G38" s="370">
        <f t="shared" si="10"/>
        <v>6875000</v>
      </c>
      <c r="H38" s="290">
        <v>7500000</v>
      </c>
      <c r="J38" s="374"/>
      <c r="K38" s="373"/>
      <c r="L38" s="369"/>
      <c r="M38" s="369"/>
    </row>
    <row r="39" spans="1:13" ht="14.25" thickTop="1" thickBot="1" x14ac:dyDescent="0.25">
      <c r="A39" s="305" t="s">
        <v>217</v>
      </c>
      <c r="B39" s="376">
        <v>5500000</v>
      </c>
      <c r="C39" s="372">
        <v>5000000</v>
      </c>
      <c r="D39" s="372">
        <f t="shared" si="9"/>
        <v>5284500</v>
      </c>
      <c r="E39" s="372"/>
      <c r="F39" s="209">
        <v>0.13500000000000001</v>
      </c>
      <c r="G39" s="370">
        <f t="shared" si="10"/>
        <v>6242500</v>
      </c>
      <c r="H39" s="370"/>
      <c r="J39" s="374"/>
      <c r="K39" s="373"/>
      <c r="L39" s="369"/>
      <c r="M39" s="369"/>
    </row>
    <row r="40" spans="1:13" ht="14.25" thickTop="1" thickBot="1" x14ac:dyDescent="0.25">
      <c r="A40" s="305" t="s">
        <v>531</v>
      </c>
      <c r="B40" s="370">
        <f>+H40</f>
        <v>3500000</v>
      </c>
      <c r="C40" s="372">
        <v>3000000</v>
      </c>
      <c r="D40" s="372">
        <f t="shared" si="9"/>
        <v>3170700</v>
      </c>
      <c r="E40" s="372"/>
      <c r="F40" s="209">
        <v>0</v>
      </c>
      <c r="G40" s="370">
        <f t="shared" si="10"/>
        <v>3500000</v>
      </c>
      <c r="H40" s="370">
        <v>3500000</v>
      </c>
      <c r="J40" s="1020" t="s">
        <v>530</v>
      </c>
      <c r="K40" s="1021"/>
      <c r="L40" s="369" t="s">
        <v>369</v>
      </c>
      <c r="M40" s="369" t="s">
        <v>0</v>
      </c>
    </row>
    <row r="41" spans="1:13" ht="14.25" thickTop="1" thickBot="1" x14ac:dyDescent="0.25">
      <c r="A41" s="305" t="s">
        <v>218</v>
      </c>
      <c r="B41" s="370">
        <f>+H41</f>
        <v>7500000</v>
      </c>
      <c r="C41" s="377">
        <v>5000000</v>
      </c>
      <c r="D41" s="372">
        <f t="shared" si="9"/>
        <v>5284500</v>
      </c>
      <c r="E41" s="372"/>
      <c r="F41" s="209">
        <v>0.41899999999999998</v>
      </c>
      <c r="G41" s="370">
        <f t="shared" si="10"/>
        <v>10642500</v>
      </c>
      <c r="H41" s="290">
        <v>7500000</v>
      </c>
      <c r="J41" s="1020" t="s">
        <v>529</v>
      </c>
      <c r="K41" s="1021"/>
      <c r="L41" s="369" t="e">
        <f>+L13/$L$34</f>
        <v>#REF!</v>
      </c>
      <c r="M41" s="369" t="e">
        <f>+M13/$M$34</f>
        <v>#REF!</v>
      </c>
    </row>
    <row r="42" spans="1:13" ht="14.25" thickTop="1" thickBot="1" x14ac:dyDescent="0.25">
      <c r="A42" s="305" t="s">
        <v>219</v>
      </c>
      <c r="B42" s="370">
        <f>+H42</f>
        <v>4300000</v>
      </c>
      <c r="C42" s="372">
        <v>4250000</v>
      </c>
      <c r="D42" s="372">
        <f t="shared" si="9"/>
        <v>4491825</v>
      </c>
      <c r="E42" s="372"/>
      <c r="F42" s="209">
        <f>+(F41+F43)/2</f>
        <v>0.29099999999999998</v>
      </c>
      <c r="G42" s="370">
        <f t="shared" si="10"/>
        <v>5551300</v>
      </c>
      <c r="H42" s="370">
        <v>4300000</v>
      </c>
      <c r="J42" s="374"/>
      <c r="K42" s="373"/>
      <c r="L42" s="369"/>
      <c r="M42" s="369"/>
    </row>
    <row r="43" spans="1:13" ht="14.25" thickTop="1" thickBot="1" x14ac:dyDescent="0.25">
      <c r="A43" s="305" t="s">
        <v>220</v>
      </c>
      <c r="B43" s="376">
        <v>4000000</v>
      </c>
      <c r="C43" s="372">
        <v>3500000</v>
      </c>
      <c r="D43" s="372">
        <f t="shared" si="9"/>
        <v>3699150</v>
      </c>
      <c r="E43" s="372"/>
      <c r="F43" s="209">
        <v>0.16300000000000001</v>
      </c>
      <c r="G43" s="370">
        <f t="shared" si="10"/>
        <v>4652000</v>
      </c>
      <c r="H43" s="370"/>
      <c r="J43" s="1020" t="s">
        <v>219</v>
      </c>
      <c r="K43" s="1021"/>
      <c r="L43" s="369" t="e">
        <f>+L15/$L$34</f>
        <v>#REF!</v>
      </c>
      <c r="M43" s="369" t="e">
        <f>+M15/$M$34</f>
        <v>#REF!</v>
      </c>
    </row>
    <row r="44" spans="1:13" ht="14.25" thickTop="1" thickBot="1" x14ac:dyDescent="0.25">
      <c r="A44" s="305" t="s">
        <v>221</v>
      </c>
      <c r="B44" s="290">
        <f>+D44</f>
        <v>4756050</v>
      </c>
      <c r="C44" s="372">
        <v>4500000</v>
      </c>
      <c r="D44" s="372">
        <f t="shared" si="9"/>
        <v>4756050</v>
      </c>
      <c r="E44" s="372"/>
      <c r="F44" s="371">
        <v>0</v>
      </c>
      <c r="G44" s="370">
        <f t="shared" si="10"/>
        <v>4756050</v>
      </c>
      <c r="H44" s="370">
        <v>4000000</v>
      </c>
      <c r="J44" s="1020" t="s">
        <v>221</v>
      </c>
      <c r="K44" s="1021"/>
      <c r="L44" s="369" t="e">
        <f>+L16/$L$34</f>
        <v>#REF!</v>
      </c>
      <c r="M44" s="369" t="e">
        <f>+M16/$M$34</f>
        <v>#REF!</v>
      </c>
    </row>
    <row r="45" spans="1:13" ht="14.25" thickTop="1" thickBot="1" x14ac:dyDescent="0.25">
      <c r="A45" s="375" t="s">
        <v>222</v>
      </c>
      <c r="B45" s="290">
        <f>+D45</f>
        <v>4227600</v>
      </c>
      <c r="C45" s="372">
        <v>4000000</v>
      </c>
      <c r="D45" s="372">
        <f t="shared" si="9"/>
        <v>4227600</v>
      </c>
      <c r="E45" s="372"/>
      <c r="F45" s="371">
        <v>0</v>
      </c>
      <c r="G45" s="370">
        <f t="shared" si="10"/>
        <v>4227600</v>
      </c>
      <c r="H45" s="370">
        <v>3500000</v>
      </c>
      <c r="J45" s="1020" t="s">
        <v>222</v>
      </c>
      <c r="K45" s="1021"/>
      <c r="L45" s="369" t="e">
        <f>+L17/$L$34</f>
        <v>#REF!</v>
      </c>
      <c r="M45" s="369" t="e">
        <f>+M17/$M$34</f>
        <v>#REF!</v>
      </c>
    </row>
    <row r="46" spans="1:13" ht="14.25" thickTop="1" thickBot="1" x14ac:dyDescent="0.25">
      <c r="A46" s="375" t="s">
        <v>223</v>
      </c>
      <c r="B46" s="290">
        <f>+D46</f>
        <v>3170700</v>
      </c>
      <c r="C46" s="372">
        <v>3000000</v>
      </c>
      <c r="D46" s="372">
        <f t="shared" si="9"/>
        <v>3170700</v>
      </c>
      <c r="E46" s="372"/>
      <c r="F46" s="371">
        <v>0</v>
      </c>
      <c r="G46" s="370">
        <f t="shared" si="10"/>
        <v>3170700</v>
      </c>
      <c r="H46" s="370">
        <v>2500000</v>
      </c>
      <c r="J46" s="1020" t="s">
        <v>223</v>
      </c>
      <c r="K46" s="1021"/>
      <c r="L46" s="369" t="e">
        <f>+L18/$L$34</f>
        <v>#REF!</v>
      </c>
      <c r="M46" s="369" t="e">
        <f>+M18/$M$34</f>
        <v>#REF!</v>
      </c>
    </row>
    <row r="47" spans="1:13" ht="14.25" thickTop="1" thickBot="1" x14ac:dyDescent="0.25">
      <c r="A47" s="305" t="s">
        <v>224</v>
      </c>
      <c r="B47" s="370">
        <f>+H47</f>
        <v>5500000</v>
      </c>
      <c r="C47" s="372">
        <v>3000000</v>
      </c>
      <c r="D47" s="372">
        <f t="shared" si="9"/>
        <v>3170700</v>
      </c>
      <c r="E47" s="372"/>
      <c r="F47" s="209">
        <v>0.73499999999999999</v>
      </c>
      <c r="G47" s="370">
        <f t="shared" si="10"/>
        <v>9542500</v>
      </c>
      <c r="H47" s="370">
        <v>5500000</v>
      </c>
      <c r="J47" s="1020" t="s">
        <v>528</v>
      </c>
      <c r="K47" s="1021"/>
      <c r="L47" s="369" t="e">
        <f>+L19/$L$34</f>
        <v>#REF!</v>
      </c>
      <c r="M47" s="369" t="e">
        <f>+M19/$M$34</f>
        <v>#REF!</v>
      </c>
    </row>
    <row r="48" spans="1:13" ht="14.25" thickTop="1" thickBot="1" x14ac:dyDescent="0.25">
      <c r="A48" s="305" t="s">
        <v>225</v>
      </c>
      <c r="B48" s="290">
        <f>+D48</f>
        <v>3170700</v>
      </c>
      <c r="C48" s="372">
        <v>3000000</v>
      </c>
      <c r="D48" s="372">
        <f t="shared" si="9"/>
        <v>3170700</v>
      </c>
      <c r="E48" s="372"/>
      <c r="F48" s="209">
        <v>0.25</v>
      </c>
      <c r="G48" s="370">
        <f t="shared" si="10"/>
        <v>3963375</v>
      </c>
      <c r="H48" s="370"/>
      <c r="J48" s="374"/>
      <c r="K48" s="373"/>
      <c r="L48" s="369"/>
      <c r="M48" s="369"/>
    </row>
    <row r="49" spans="1:13" ht="14.25" thickTop="1" thickBot="1" x14ac:dyDescent="0.25">
      <c r="A49" s="305" t="s">
        <v>226</v>
      </c>
      <c r="B49" s="370">
        <f>+H49</f>
        <v>2100000</v>
      </c>
      <c r="C49" s="372">
        <v>1500000</v>
      </c>
      <c r="D49" s="372">
        <f t="shared" si="9"/>
        <v>1585350</v>
      </c>
      <c r="E49" s="372"/>
      <c r="F49" s="209">
        <v>0.32400000000000001</v>
      </c>
      <c r="G49" s="370">
        <f t="shared" si="10"/>
        <v>2780400</v>
      </c>
      <c r="H49" s="370">
        <v>2100000</v>
      </c>
      <c r="J49" s="1020" t="s">
        <v>527</v>
      </c>
      <c r="K49" s="1021"/>
      <c r="L49" s="369" t="e">
        <f t="shared" ref="L49:L55" si="11">+L21/$L$34</f>
        <v>#REF!</v>
      </c>
      <c r="M49" s="369" t="e">
        <f t="shared" ref="M49:M55" si="12">+M21/$M$34</f>
        <v>#REF!</v>
      </c>
    </row>
    <row r="50" spans="1:13" ht="14.25" thickTop="1" thickBot="1" x14ac:dyDescent="0.25">
      <c r="A50" s="305" t="s">
        <v>227</v>
      </c>
      <c r="B50" s="290">
        <f t="shared" ref="B50:B55" si="13">+D50</f>
        <v>1585350</v>
      </c>
      <c r="C50" s="372">
        <v>1500000</v>
      </c>
      <c r="D50" s="372">
        <f t="shared" si="9"/>
        <v>1585350</v>
      </c>
      <c r="E50" s="372"/>
      <c r="F50" s="371">
        <v>0</v>
      </c>
      <c r="G50" s="370">
        <f t="shared" si="10"/>
        <v>1585350</v>
      </c>
      <c r="H50" s="370">
        <v>1500000</v>
      </c>
      <c r="I50" s="370"/>
      <c r="J50" s="1020" t="s">
        <v>227</v>
      </c>
      <c r="K50" s="1021"/>
      <c r="L50" s="369" t="e">
        <f t="shared" si="11"/>
        <v>#REF!</v>
      </c>
      <c r="M50" s="369" t="e">
        <f t="shared" si="12"/>
        <v>#REF!</v>
      </c>
    </row>
    <row r="51" spans="1:13" ht="14.25" thickTop="1" thickBot="1" x14ac:dyDescent="0.25">
      <c r="A51" s="305" t="s">
        <v>228</v>
      </c>
      <c r="B51" s="290">
        <f t="shared" si="13"/>
        <v>3170700</v>
      </c>
      <c r="C51" s="372">
        <v>3000000</v>
      </c>
      <c r="D51" s="372">
        <f t="shared" si="9"/>
        <v>3170700</v>
      </c>
      <c r="E51" s="372"/>
      <c r="F51" s="371">
        <v>0</v>
      </c>
      <c r="G51" s="370">
        <f t="shared" si="10"/>
        <v>3170700</v>
      </c>
      <c r="H51" s="370">
        <v>3000000</v>
      </c>
      <c r="J51" s="1020" t="s">
        <v>228</v>
      </c>
      <c r="K51" s="1021"/>
      <c r="L51" s="369" t="e">
        <f t="shared" si="11"/>
        <v>#REF!</v>
      </c>
      <c r="M51" s="369" t="e">
        <f t="shared" si="12"/>
        <v>#REF!</v>
      </c>
    </row>
    <row r="52" spans="1:13" ht="14.25" thickTop="1" thickBot="1" x14ac:dyDescent="0.25">
      <c r="A52" s="305" t="s">
        <v>229</v>
      </c>
      <c r="B52" s="290">
        <f t="shared" si="13"/>
        <v>2113800</v>
      </c>
      <c r="C52" s="372">
        <v>2000000</v>
      </c>
      <c r="D52" s="372">
        <f t="shared" si="9"/>
        <v>2113800</v>
      </c>
      <c r="E52" s="372"/>
      <c r="F52" s="371">
        <v>0</v>
      </c>
      <c r="G52" s="370">
        <f t="shared" si="10"/>
        <v>2113800</v>
      </c>
      <c r="H52" s="370">
        <v>2000000</v>
      </c>
      <c r="J52" s="1020" t="s">
        <v>229</v>
      </c>
      <c r="K52" s="1021"/>
      <c r="L52" s="369" t="e">
        <f t="shared" si="11"/>
        <v>#REF!</v>
      </c>
      <c r="M52" s="369" t="e">
        <f t="shared" si="12"/>
        <v>#REF!</v>
      </c>
    </row>
    <row r="53" spans="1:13" ht="14.25" thickTop="1" thickBot="1" x14ac:dyDescent="0.25">
      <c r="A53" s="305" t="s">
        <v>230</v>
      </c>
      <c r="B53" s="290">
        <f t="shared" si="13"/>
        <v>3699150</v>
      </c>
      <c r="C53" s="372">
        <v>3500000</v>
      </c>
      <c r="D53" s="372">
        <f t="shared" si="9"/>
        <v>3699150</v>
      </c>
      <c r="E53" s="372"/>
      <c r="F53" s="371">
        <v>0</v>
      </c>
      <c r="G53" s="370">
        <f t="shared" si="10"/>
        <v>3699150</v>
      </c>
      <c r="H53" s="370">
        <v>3500000</v>
      </c>
      <c r="J53" s="1020" t="s">
        <v>230</v>
      </c>
      <c r="K53" s="1021"/>
      <c r="L53" s="369">
        <f t="shared" si="11"/>
        <v>28.212031249999999</v>
      </c>
      <c r="M53" s="369">
        <f t="shared" si="12"/>
        <v>34.850156249999998</v>
      </c>
    </row>
    <row r="54" spans="1:13" ht="14.25" thickTop="1" thickBot="1" x14ac:dyDescent="0.25">
      <c r="A54" s="305" t="s">
        <v>231</v>
      </c>
      <c r="B54" s="290">
        <f t="shared" si="13"/>
        <v>2113800</v>
      </c>
      <c r="C54" s="372">
        <v>2000000</v>
      </c>
      <c r="D54" s="372">
        <f t="shared" si="9"/>
        <v>2113800</v>
      </c>
      <c r="E54" s="372"/>
      <c r="F54" s="371">
        <v>0</v>
      </c>
      <c r="G54" s="370">
        <f t="shared" si="10"/>
        <v>2113800</v>
      </c>
      <c r="H54" s="370">
        <v>2100000</v>
      </c>
      <c r="J54" s="1020" t="s">
        <v>231</v>
      </c>
      <c r="K54" s="1021"/>
      <c r="L54" s="369" t="e">
        <f t="shared" si="11"/>
        <v>#REF!</v>
      </c>
      <c r="M54" s="369" t="e">
        <f t="shared" si="12"/>
        <v>#REF!</v>
      </c>
    </row>
    <row r="55" spans="1:13" ht="14.25" thickTop="1" thickBot="1" x14ac:dyDescent="0.25">
      <c r="A55" s="305" t="s">
        <v>232</v>
      </c>
      <c r="B55" s="290">
        <f t="shared" si="13"/>
        <v>1305271.5</v>
      </c>
      <c r="C55" s="372">
        <v>1235000</v>
      </c>
      <c r="D55" s="372">
        <f t="shared" si="9"/>
        <v>1305271.5</v>
      </c>
      <c r="E55" s="372"/>
      <c r="F55" s="371">
        <v>0</v>
      </c>
      <c r="G55" s="370">
        <f t="shared" si="10"/>
        <v>1305271.5</v>
      </c>
      <c r="H55" s="370">
        <v>1300000</v>
      </c>
      <c r="J55" s="1020" t="s">
        <v>232</v>
      </c>
      <c r="K55" s="1021"/>
      <c r="L55" s="369" t="e">
        <f t="shared" si="11"/>
        <v>#REF!</v>
      </c>
      <c r="M55" s="369" t="e">
        <f t="shared" si="12"/>
        <v>#REF!</v>
      </c>
    </row>
    <row r="56" spans="1:13" ht="13.5" thickTop="1" x14ac:dyDescent="0.2"/>
    <row r="57" spans="1:13" ht="13.5" thickBot="1" x14ac:dyDescent="0.25"/>
    <row r="58" spans="1:13" ht="14.25" thickTop="1" thickBot="1" x14ac:dyDescent="0.25">
      <c r="A58" s="1022" t="s">
        <v>526</v>
      </c>
      <c r="B58" s="368">
        <v>1.7</v>
      </c>
      <c r="C58" s="367">
        <v>0</v>
      </c>
      <c r="D58" s="1025">
        <v>0</v>
      </c>
      <c r="E58" s="1028">
        <f>+IF(D58=0,1.7,IF(D58=1,B59,B60))</f>
        <v>1.7</v>
      </c>
    </row>
    <row r="59" spans="1:13" ht="14.25" thickTop="1" thickBot="1" x14ac:dyDescent="0.25">
      <c r="A59" s="1023"/>
      <c r="B59" s="366">
        <v>1.73</v>
      </c>
      <c r="C59" s="365">
        <v>1</v>
      </c>
      <c r="D59" s="1026"/>
      <c r="E59" s="1029"/>
    </row>
    <row r="60" spans="1:13" ht="14.25" thickTop="1" thickBot="1" x14ac:dyDescent="0.25">
      <c r="A60" s="1024"/>
      <c r="B60" s="364">
        <v>1.9</v>
      </c>
      <c r="C60" s="363">
        <v>2</v>
      </c>
      <c r="D60" s="1027"/>
      <c r="E60" s="1030"/>
    </row>
    <row r="61" spans="1:13" ht="13.5" thickTop="1" x14ac:dyDescent="0.2"/>
  </sheetData>
  <mergeCells count="37">
    <mergeCell ref="J52:K52"/>
    <mergeCell ref="J53:K53"/>
    <mergeCell ref="J54:K54"/>
    <mergeCell ref="J55:K55"/>
    <mergeCell ref="A58:A60"/>
    <mergeCell ref="D58:D60"/>
    <mergeCell ref="E58:E60"/>
    <mergeCell ref="J51:K51"/>
    <mergeCell ref="J35:K35"/>
    <mergeCell ref="J37:K37"/>
    <mergeCell ref="J40:K40"/>
    <mergeCell ref="J41:K41"/>
    <mergeCell ref="J43:K43"/>
    <mergeCell ref="J44:K44"/>
    <mergeCell ref="J45:K45"/>
    <mergeCell ref="J46:K46"/>
    <mergeCell ref="J47:K47"/>
    <mergeCell ref="J49:K49"/>
    <mergeCell ref="J50:K50"/>
    <mergeCell ref="L5:M5"/>
    <mergeCell ref="C29:D29"/>
    <mergeCell ref="C30:D30"/>
    <mergeCell ref="L31:M31"/>
    <mergeCell ref="L33:M33"/>
    <mergeCell ref="A34:B34"/>
    <mergeCell ref="D4:E4"/>
    <mergeCell ref="F4:G4"/>
    <mergeCell ref="J4:J6"/>
    <mergeCell ref="K4:K6"/>
    <mergeCell ref="A5:A6"/>
    <mergeCell ref="H5:I5"/>
    <mergeCell ref="L3:M3"/>
    <mergeCell ref="B1:C1"/>
    <mergeCell ref="F2:G2"/>
    <mergeCell ref="F3:G3"/>
    <mergeCell ref="H3:I3"/>
    <mergeCell ref="J3:K3"/>
  </mergeCells>
  <pageMargins left="0.75" right="0.75" top="1" bottom="1" header="0" footer="0"/>
  <pageSetup scale="54"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W39"/>
  <sheetViews>
    <sheetView topLeftCell="A3" workbookViewId="0">
      <selection activeCell="B23" sqref="B23"/>
    </sheetView>
  </sheetViews>
  <sheetFormatPr baseColWidth="10" defaultRowHeight="12.75" x14ac:dyDescent="0.2"/>
  <cols>
    <col min="1" max="1" width="6.7109375" style="703" customWidth="1"/>
    <col min="2" max="2" width="40.28515625" style="14" customWidth="1"/>
    <col min="3" max="3" width="12.28515625" style="14" customWidth="1"/>
    <col min="4" max="4" width="15.42578125" style="14" bestFit="1" customWidth="1"/>
    <col min="5" max="5" width="8.140625" style="14" customWidth="1"/>
    <col min="6" max="6" width="17.7109375" style="14" customWidth="1"/>
    <col min="7" max="7" width="15" style="14" customWidth="1"/>
    <col min="8" max="8" width="14.42578125" style="14" customWidth="1"/>
    <col min="9" max="9" width="21.5703125" style="14" customWidth="1"/>
    <col min="10" max="10" width="19.7109375" style="14" customWidth="1"/>
    <col min="11" max="13" width="13" style="14" customWidth="1"/>
    <col min="14" max="15" width="10.7109375" style="14" customWidth="1"/>
    <col min="16" max="16" width="13" style="14" customWidth="1"/>
    <col min="17" max="17" width="10.7109375" style="14" customWidth="1"/>
    <col min="18" max="19" width="13" style="14" customWidth="1"/>
    <col min="20" max="20" width="10.7109375" style="14" customWidth="1"/>
    <col min="21" max="22" width="13" style="14" customWidth="1"/>
    <col min="23" max="23" width="10.7109375" style="14" customWidth="1"/>
    <col min="24" max="24" width="13" style="14" customWidth="1"/>
    <col min="25" max="25" width="15.140625" style="14" customWidth="1"/>
    <col min="26" max="26" width="18.28515625" style="14" customWidth="1"/>
    <col min="27" max="28" width="11.42578125" style="14"/>
    <col min="29" max="29" width="3.7109375" style="14" customWidth="1"/>
    <col min="30" max="16384" width="11.42578125" style="14"/>
  </cols>
  <sheetData>
    <row r="1" spans="2:23" ht="13.5" thickBot="1" x14ac:dyDescent="0.25">
      <c r="B1" s="819" t="s">
        <v>126</v>
      </c>
      <c r="C1" s="820"/>
      <c r="D1" s="820"/>
      <c r="E1" s="820"/>
      <c r="F1" s="820"/>
      <c r="G1" s="825"/>
      <c r="H1" s="55"/>
      <c r="I1" s="17"/>
      <c r="J1" s="17"/>
      <c r="K1" s="17"/>
      <c r="L1" s="17"/>
      <c r="M1" s="17"/>
      <c r="N1" s="17"/>
      <c r="O1" s="17"/>
      <c r="P1" s="17"/>
      <c r="Q1" s="17"/>
      <c r="R1" s="17"/>
      <c r="S1" s="17"/>
      <c r="T1" s="17"/>
      <c r="U1" s="17"/>
      <c r="V1" s="17"/>
    </row>
    <row r="2" spans="2:23" ht="51.75" thickBot="1" x14ac:dyDescent="0.25">
      <c r="B2" s="24" t="s">
        <v>127</v>
      </c>
      <c r="C2" s="25" t="s">
        <v>769</v>
      </c>
      <c r="D2" s="25" t="s">
        <v>128</v>
      </c>
      <c r="E2" s="25" t="s">
        <v>122</v>
      </c>
      <c r="F2" s="50" t="s">
        <v>129</v>
      </c>
      <c r="G2" s="26" t="s">
        <v>118</v>
      </c>
      <c r="I2" s="56"/>
      <c r="J2" s="56"/>
      <c r="K2" s="56"/>
      <c r="L2" s="17"/>
      <c r="M2" s="17"/>
      <c r="N2" s="17"/>
      <c r="O2" s="17"/>
      <c r="P2" s="17"/>
      <c r="Q2" s="17"/>
      <c r="R2" s="17"/>
      <c r="S2" s="17"/>
      <c r="T2" s="17"/>
      <c r="U2" s="17"/>
      <c r="V2" s="17"/>
      <c r="W2" s="17"/>
    </row>
    <row r="3" spans="2:23" x14ac:dyDescent="0.2">
      <c r="B3" s="135" t="s">
        <v>772</v>
      </c>
      <c r="C3" s="51">
        <f>+'Recursos Humanos'!J11</f>
        <v>31.09036</v>
      </c>
      <c r="D3" s="550">
        <f>C3*Parametros!$B$20</f>
        <v>0</v>
      </c>
      <c r="E3" s="58"/>
      <c r="F3" s="53"/>
      <c r="G3" s="20"/>
      <c r="I3" s="17"/>
      <c r="J3" s="17"/>
      <c r="K3" s="17"/>
      <c r="L3" s="17"/>
      <c r="M3" s="17"/>
      <c r="N3" s="17"/>
      <c r="O3" s="17"/>
      <c r="P3" s="17"/>
      <c r="Q3" s="17"/>
      <c r="R3" s="17"/>
      <c r="S3" s="17"/>
      <c r="T3" s="17"/>
      <c r="U3" s="17"/>
      <c r="V3" s="17"/>
    </row>
    <row r="4" spans="2:23" x14ac:dyDescent="0.2">
      <c r="B4" s="21" t="s">
        <v>130</v>
      </c>
      <c r="C4" s="51">
        <v>0</v>
      </c>
      <c r="D4" s="57">
        <v>0</v>
      </c>
      <c r="E4" s="52"/>
      <c r="F4" s="54"/>
      <c r="G4" s="20"/>
      <c r="I4" s="17"/>
      <c r="J4" s="17"/>
      <c r="K4" s="17"/>
      <c r="L4" s="17"/>
      <c r="M4" s="17"/>
      <c r="N4" s="17"/>
      <c r="O4" s="17"/>
      <c r="P4" s="17"/>
      <c r="Q4" s="17"/>
      <c r="R4" s="17"/>
      <c r="S4" s="17"/>
      <c r="T4" s="17"/>
      <c r="U4" s="17"/>
      <c r="V4" s="17"/>
    </row>
    <row r="5" spans="2:23" x14ac:dyDescent="0.2">
      <c r="B5" s="549" t="s">
        <v>131</v>
      </c>
      <c r="C5" s="51">
        <v>0</v>
      </c>
      <c r="D5" s="57">
        <f>+C5*C3</f>
        <v>0</v>
      </c>
      <c r="E5" s="52"/>
      <c r="F5" s="54"/>
      <c r="G5" s="20"/>
      <c r="I5" s="17"/>
      <c r="J5" s="17"/>
      <c r="K5" s="17"/>
      <c r="L5" s="17"/>
      <c r="M5" s="17"/>
      <c r="N5" s="17"/>
      <c r="O5" s="17"/>
      <c r="P5" s="17"/>
      <c r="Q5" s="17"/>
      <c r="R5" s="17"/>
      <c r="S5" s="17"/>
      <c r="T5" s="17"/>
      <c r="U5" s="17"/>
      <c r="V5" s="17"/>
    </row>
    <row r="6" spans="2:23" x14ac:dyDescent="0.2">
      <c r="B6" s="21" t="s">
        <v>133</v>
      </c>
      <c r="C6" s="59">
        <v>0</v>
      </c>
      <c r="D6" s="51">
        <v>0</v>
      </c>
      <c r="E6" s="52"/>
      <c r="F6" s="54"/>
      <c r="G6" s="20"/>
      <c r="I6" s="17"/>
      <c r="J6" s="17"/>
      <c r="K6" s="17"/>
      <c r="L6" s="17"/>
      <c r="M6" s="17"/>
      <c r="N6" s="17"/>
      <c r="O6" s="17"/>
      <c r="P6" s="17"/>
      <c r="Q6" s="17"/>
      <c r="R6" s="17"/>
      <c r="S6" s="17"/>
      <c r="T6" s="17"/>
      <c r="U6" s="17"/>
      <c r="V6" s="17"/>
    </row>
    <row r="7" spans="2:23" x14ac:dyDescent="0.2">
      <c r="B7" s="135" t="s">
        <v>654</v>
      </c>
      <c r="C7" s="595">
        <v>0</v>
      </c>
      <c r="D7" s="51">
        <f>+C7*360000</f>
        <v>0</v>
      </c>
      <c r="E7" s="52"/>
      <c r="F7" s="54"/>
      <c r="G7" s="20"/>
      <c r="I7" s="17"/>
      <c r="J7" s="17"/>
      <c r="K7" s="17"/>
      <c r="L7" s="17"/>
      <c r="M7" s="17"/>
      <c r="N7" s="17"/>
      <c r="O7" s="17"/>
      <c r="P7" s="17"/>
      <c r="Q7" s="17"/>
      <c r="R7" s="17"/>
      <c r="S7" s="17"/>
      <c r="T7" s="17"/>
      <c r="U7" s="17"/>
      <c r="V7" s="17"/>
    </row>
    <row r="8" spans="2:23" x14ac:dyDescent="0.2">
      <c r="B8" s="21" t="s">
        <v>134</v>
      </c>
      <c r="C8" s="59">
        <v>0</v>
      </c>
      <c r="D8" s="51">
        <v>0</v>
      </c>
      <c r="E8" s="52"/>
      <c r="F8" s="54"/>
      <c r="G8" s="20"/>
      <c r="I8" s="17"/>
      <c r="J8" s="17"/>
      <c r="K8" s="17"/>
      <c r="L8" s="17"/>
      <c r="M8" s="17"/>
      <c r="N8" s="17"/>
      <c r="O8" s="17"/>
      <c r="P8" s="17"/>
      <c r="Q8" s="17"/>
      <c r="R8" s="17"/>
      <c r="S8" s="17"/>
      <c r="T8" s="17"/>
      <c r="U8" s="17"/>
      <c r="V8" s="17"/>
    </row>
    <row r="9" spans="2:23" x14ac:dyDescent="0.2">
      <c r="B9" s="135" t="s">
        <v>573</v>
      </c>
      <c r="C9" s="545"/>
      <c r="D9" s="51"/>
      <c r="E9" s="52"/>
      <c r="F9" s="54"/>
      <c r="G9" s="20"/>
      <c r="I9" s="17"/>
      <c r="J9" s="17"/>
      <c r="K9" s="17"/>
      <c r="L9" s="17"/>
      <c r="M9" s="17"/>
      <c r="N9" s="17"/>
      <c r="O9" s="17"/>
      <c r="P9" s="17"/>
      <c r="Q9" s="17"/>
      <c r="R9" s="17"/>
      <c r="S9" s="17"/>
      <c r="T9" s="17"/>
      <c r="U9" s="17"/>
      <c r="V9" s="17"/>
    </row>
    <row r="10" spans="2:23" s="554" customFormat="1" x14ac:dyDescent="0.2">
      <c r="B10" s="549" t="s">
        <v>594</v>
      </c>
      <c r="C10" s="550">
        <f>+C3</f>
        <v>31.09036</v>
      </c>
      <c r="D10" s="550">
        <f>C10*Parametros!$B$31</f>
        <v>24934468.719999999</v>
      </c>
      <c r="E10" s="551"/>
      <c r="F10" s="552"/>
      <c r="G10" s="553"/>
    </row>
    <row r="11" spans="2:23" s="554" customFormat="1" x14ac:dyDescent="0.2">
      <c r="B11" s="549" t="s">
        <v>595</v>
      </c>
      <c r="C11" s="550">
        <f>C10</f>
        <v>31.09036</v>
      </c>
      <c r="D11" s="550">
        <f>C11*Parametros!B32</f>
        <v>10539632.040000001</v>
      </c>
      <c r="E11" s="551"/>
      <c r="F11" s="552"/>
      <c r="G11" s="553"/>
    </row>
    <row r="12" spans="2:23" x14ac:dyDescent="0.2">
      <c r="B12" s="135" t="s">
        <v>728</v>
      </c>
      <c r="C12" s="51">
        <f>+C10</f>
        <v>31.09036</v>
      </c>
      <c r="D12" s="51">
        <f>C12*Parametros!B33</f>
        <v>1554518</v>
      </c>
      <c r="E12" s="52"/>
      <c r="F12" s="54"/>
      <c r="G12" s="20"/>
      <c r="I12" s="17"/>
      <c r="J12" s="17"/>
      <c r="K12" s="17"/>
      <c r="L12" s="17"/>
      <c r="M12" s="17"/>
      <c r="N12" s="17"/>
      <c r="O12" s="17"/>
      <c r="P12" s="17"/>
      <c r="Q12" s="17"/>
      <c r="R12" s="17"/>
      <c r="S12" s="17"/>
      <c r="T12" s="17"/>
      <c r="U12" s="17"/>
      <c r="V12" s="17"/>
    </row>
    <row r="13" spans="2:23" x14ac:dyDescent="0.2">
      <c r="B13" s="135"/>
      <c r="C13" s="59"/>
      <c r="D13" s="51"/>
      <c r="E13" s="52"/>
      <c r="F13" s="54"/>
      <c r="G13" s="20"/>
      <c r="I13" s="17"/>
      <c r="J13" s="17"/>
      <c r="K13" s="17"/>
      <c r="L13" s="17"/>
      <c r="M13" s="17"/>
      <c r="N13" s="17"/>
      <c r="O13" s="17"/>
      <c r="P13" s="17"/>
      <c r="Q13" s="17"/>
      <c r="R13" s="17"/>
      <c r="S13" s="17"/>
      <c r="T13" s="17"/>
      <c r="U13" s="17"/>
      <c r="V13" s="17"/>
    </row>
    <row r="14" spans="2:23" ht="13.5" thickBot="1" x14ac:dyDescent="0.25">
      <c r="B14" s="21"/>
      <c r="C14" s="59"/>
      <c r="D14" s="51"/>
      <c r="E14" s="52"/>
      <c r="F14" s="54"/>
      <c r="G14" s="20"/>
      <c r="I14" s="17"/>
      <c r="J14" s="17"/>
      <c r="K14" s="17"/>
      <c r="L14" s="17"/>
      <c r="M14" s="17"/>
      <c r="N14" s="17"/>
      <c r="O14" s="17"/>
      <c r="P14" s="17"/>
      <c r="Q14" s="17"/>
      <c r="R14" s="17"/>
      <c r="S14" s="17"/>
      <c r="T14" s="17"/>
      <c r="U14" s="17"/>
      <c r="V14" s="17"/>
    </row>
    <row r="15" spans="2:23" ht="13.5" thickBot="1" x14ac:dyDescent="0.25">
      <c r="B15" s="826" t="s">
        <v>135</v>
      </c>
      <c r="C15" s="827"/>
      <c r="D15" s="27">
        <f>SUM(D3:D14)</f>
        <v>37028618.759999998</v>
      </c>
      <c r="E15" s="828"/>
      <c r="F15" s="829"/>
      <c r="G15" s="830"/>
      <c r="I15" s="17"/>
      <c r="J15" s="17"/>
      <c r="K15" s="17"/>
      <c r="L15" s="17"/>
      <c r="M15" s="17"/>
      <c r="N15" s="17"/>
      <c r="O15" s="17"/>
      <c r="P15" s="17"/>
      <c r="Q15" s="17"/>
      <c r="R15" s="17"/>
      <c r="S15" s="17"/>
      <c r="T15" s="17"/>
      <c r="U15" s="17"/>
      <c r="V15" s="17"/>
    </row>
    <row r="20" spans="2:4" x14ac:dyDescent="0.2">
      <c r="C20" s="14" t="s">
        <v>0</v>
      </c>
    </row>
    <row r="21" spans="2:4" ht="25.5" x14ac:dyDescent="0.2">
      <c r="B21" s="782" t="s">
        <v>127</v>
      </c>
      <c r="C21" s="783" t="s">
        <v>771</v>
      </c>
      <c r="D21" s="784" t="s">
        <v>770</v>
      </c>
    </row>
    <row r="22" spans="2:4" x14ac:dyDescent="0.2">
      <c r="B22" s="746" t="str">
        <f t="shared" ref="B22:D31" si="0">B3</f>
        <v>Arriendo (Puestos de trabajo)</v>
      </c>
      <c r="C22" s="747">
        <f t="shared" si="0"/>
        <v>31.09036</v>
      </c>
      <c r="D22" s="748">
        <f t="shared" si="0"/>
        <v>0</v>
      </c>
    </row>
    <row r="23" spans="2:4" x14ac:dyDescent="0.2">
      <c r="B23" s="746" t="str">
        <f t="shared" si="0"/>
        <v>Adecuacion oficina</v>
      </c>
      <c r="C23" s="747">
        <f t="shared" si="0"/>
        <v>0</v>
      </c>
      <c r="D23" s="748">
        <f t="shared" si="0"/>
        <v>0</v>
      </c>
    </row>
    <row r="24" spans="2:4" x14ac:dyDescent="0.2">
      <c r="B24" s="746" t="str">
        <f t="shared" si="0"/>
        <v>Servicios públicos</v>
      </c>
      <c r="C24" s="747">
        <f t="shared" si="0"/>
        <v>0</v>
      </c>
      <c r="D24" s="748">
        <f t="shared" si="0"/>
        <v>0</v>
      </c>
    </row>
    <row r="25" spans="2:4" x14ac:dyDescent="0.2">
      <c r="B25" s="746" t="str">
        <f t="shared" si="0"/>
        <v>Cursos</v>
      </c>
      <c r="C25" s="747">
        <f t="shared" si="0"/>
        <v>0</v>
      </c>
      <c r="D25" s="748">
        <f t="shared" si="0"/>
        <v>0</v>
      </c>
    </row>
    <row r="26" spans="2:4" x14ac:dyDescent="0.2">
      <c r="B26" s="746" t="str">
        <f t="shared" si="0"/>
        <v>Asesoría Legal (Arquitecto empresarial)</v>
      </c>
      <c r="C26" s="747">
        <f t="shared" si="0"/>
        <v>0</v>
      </c>
      <c r="D26" s="748">
        <f t="shared" si="0"/>
        <v>0</v>
      </c>
    </row>
    <row r="27" spans="2:4" x14ac:dyDescent="0.2">
      <c r="B27" s="746" t="str">
        <f t="shared" si="0"/>
        <v>Gastos varios</v>
      </c>
      <c r="C27" s="747">
        <f t="shared" si="0"/>
        <v>0</v>
      </c>
      <c r="D27" s="748">
        <f t="shared" si="0"/>
        <v>0</v>
      </c>
    </row>
    <row r="28" spans="2:4" x14ac:dyDescent="0.2">
      <c r="B28" s="746" t="str">
        <f t="shared" si="0"/>
        <v>Publicacion</v>
      </c>
      <c r="C28" s="747">
        <f t="shared" si="0"/>
        <v>0</v>
      </c>
      <c r="D28" s="748">
        <f t="shared" si="0"/>
        <v>0</v>
      </c>
    </row>
    <row r="29" spans="2:4" x14ac:dyDescent="0.2">
      <c r="B29" s="746" t="str">
        <f t="shared" si="0"/>
        <v>Contribución de apoyo</v>
      </c>
      <c r="C29" s="747">
        <f t="shared" si="0"/>
        <v>31.09036</v>
      </c>
      <c r="D29" s="748">
        <f t="shared" si="0"/>
        <v>24934468.719999999</v>
      </c>
    </row>
    <row r="30" spans="2:4" x14ac:dyDescent="0.2">
      <c r="B30" s="746" t="str">
        <f t="shared" si="0"/>
        <v>Puesto de trabajo</v>
      </c>
      <c r="C30" s="747">
        <f t="shared" si="0"/>
        <v>31.09036</v>
      </c>
      <c r="D30" s="748">
        <f t="shared" si="0"/>
        <v>10539632.040000001</v>
      </c>
    </row>
    <row r="31" spans="2:4" x14ac:dyDescent="0.2">
      <c r="B31" s="746" t="str">
        <f t="shared" si="0"/>
        <v>Computadores</v>
      </c>
      <c r="C31" s="747">
        <f t="shared" si="0"/>
        <v>31.09036</v>
      </c>
      <c r="D31" s="748">
        <f t="shared" si="0"/>
        <v>1554518</v>
      </c>
    </row>
    <row r="32" spans="2:4" x14ac:dyDescent="0.2">
      <c r="B32" s="746"/>
      <c r="C32" s="747"/>
      <c r="D32" s="748"/>
    </row>
    <row r="33" spans="2:4" x14ac:dyDescent="0.2">
      <c r="B33" s="779" t="s">
        <v>135</v>
      </c>
      <c r="C33" s="780"/>
      <c r="D33" s="781">
        <f>SUM(D20:D32)</f>
        <v>37028618.759999998</v>
      </c>
    </row>
    <row r="34" spans="2:4" x14ac:dyDescent="0.2">
      <c r="B34" s="740"/>
      <c r="C34" s="740"/>
      <c r="D34" s="740"/>
    </row>
    <row r="35" spans="2:4" x14ac:dyDescent="0.2">
      <c r="B35" s="740"/>
      <c r="C35" s="740"/>
      <c r="D35" s="740"/>
    </row>
    <row r="36" spans="2:4" x14ac:dyDescent="0.2">
      <c r="B36" s="740"/>
      <c r="D36" s="740"/>
    </row>
    <row r="37" spans="2:4" x14ac:dyDescent="0.2">
      <c r="D37" s="740"/>
    </row>
    <row r="38" spans="2:4" x14ac:dyDescent="0.2">
      <c r="D38" s="740"/>
    </row>
    <row r="39" spans="2:4" x14ac:dyDescent="0.2">
      <c r="D39" s="740"/>
    </row>
  </sheetData>
  <mergeCells count="3">
    <mergeCell ref="B1:G1"/>
    <mergeCell ref="B15:C15"/>
    <mergeCell ref="E15:G15"/>
  </mergeCells>
  <pageMargins left="0.74791666666666667" right="0.74791666666666667" top="0.98402777777777772" bottom="0.98402777777777772" header="0.51180555555555551" footer="0.51180555555555551"/>
  <pageSetup firstPageNumber="0" orientation="landscape" horizontalDpi="300" verticalDpi="300" r:id="rId1"/>
  <headerFooter alignWithMargins="0"/>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128"/>
  <sheetViews>
    <sheetView showGridLines="0" tabSelected="1" topLeftCell="B1" zoomScaleNormal="100" workbookViewId="0">
      <pane ySplit="2" topLeftCell="A99" activePane="bottomLeft" state="frozen"/>
      <selection pane="bottomLeft" activeCell="E105" sqref="E105"/>
    </sheetView>
  </sheetViews>
  <sheetFormatPr baseColWidth="10" defaultRowHeight="12.75" x14ac:dyDescent="0.2"/>
  <cols>
    <col min="1" max="1" width="19.140625" style="606" customWidth="1"/>
    <col min="2" max="2" width="28.28515625" style="663" customWidth="1"/>
    <col min="3" max="3" width="31.5703125" style="606" bestFit="1" customWidth="1"/>
    <col min="4" max="4" width="11.5703125" style="665" customWidth="1"/>
    <col min="5" max="5" width="15.85546875" style="606" bestFit="1" customWidth="1"/>
    <col min="6" max="6" width="16" style="666" bestFit="1" customWidth="1"/>
    <col min="7" max="7" width="13.7109375" style="666" customWidth="1"/>
    <col min="8" max="8" width="10" style="666" customWidth="1"/>
    <col min="9" max="9" width="10" style="685" customWidth="1"/>
    <col min="10" max="10" width="9" style="606" customWidth="1"/>
    <col min="11" max="11" width="17.140625" style="667" bestFit="1" customWidth="1"/>
    <col min="12" max="12" width="14.28515625" style="667" bestFit="1" customWidth="1"/>
    <col min="13" max="13" width="9.85546875" style="606" customWidth="1"/>
    <col min="14" max="14" width="19.5703125" style="606" customWidth="1"/>
    <col min="15" max="15" width="3.42578125" style="606" bestFit="1" customWidth="1"/>
    <col min="16" max="16" width="11.5703125" style="606" customWidth="1"/>
    <col min="17" max="19" width="13" style="606" customWidth="1"/>
    <col min="20" max="21" width="10.7109375" style="606" customWidth="1"/>
    <col min="22" max="22" width="13" style="606" customWidth="1"/>
    <col min="23" max="23" width="10.7109375" style="606" customWidth="1"/>
    <col min="24" max="25" width="13" style="606" customWidth="1"/>
    <col min="26" max="26" width="10.7109375" style="606" customWidth="1"/>
    <col min="27" max="28" width="13" style="606" customWidth="1"/>
    <col min="29" max="29" width="10.7109375" style="606" customWidth="1"/>
    <col min="30" max="30" width="13" style="606" customWidth="1"/>
    <col min="31" max="31" width="15.140625" style="606" customWidth="1"/>
    <col min="32" max="32" width="18.28515625" style="606" customWidth="1"/>
    <col min="33" max="34" width="11.42578125" style="606"/>
    <col min="35" max="35" width="3.7109375" style="606" customWidth="1"/>
    <col min="36" max="16384" width="11.42578125" style="606"/>
  </cols>
  <sheetData>
    <row r="1" spans="1:17" ht="12.75" customHeight="1" x14ac:dyDescent="0.2">
      <c r="A1" s="837" t="s">
        <v>116</v>
      </c>
      <c r="B1" s="837"/>
      <c r="C1" s="837"/>
      <c r="D1" s="837"/>
      <c r="E1" s="837"/>
      <c r="F1" s="837"/>
      <c r="G1" s="837"/>
      <c r="H1" s="837"/>
      <c r="I1" s="837"/>
      <c r="J1" s="837"/>
      <c r="K1" s="837"/>
      <c r="L1" s="837"/>
      <c r="M1" s="837"/>
      <c r="N1" s="837"/>
      <c r="O1" s="837"/>
      <c r="P1" s="838"/>
      <c r="Q1" s="605"/>
    </row>
    <row r="2" spans="1:17" s="607" customFormat="1" ht="39" thickBot="1" x14ac:dyDescent="0.25">
      <c r="A2" s="718" t="s">
        <v>368</v>
      </c>
      <c r="B2" s="718" t="s">
        <v>658</v>
      </c>
      <c r="C2" s="719" t="s">
        <v>366</v>
      </c>
      <c r="D2" s="720" t="s">
        <v>117</v>
      </c>
      <c r="E2" s="718" t="s">
        <v>119</v>
      </c>
      <c r="F2" s="721" t="s">
        <v>568</v>
      </c>
      <c r="G2" s="721" t="s">
        <v>725</v>
      </c>
      <c r="H2" s="721" t="s">
        <v>701</v>
      </c>
      <c r="I2" s="721" t="s">
        <v>704</v>
      </c>
      <c r="J2" s="718" t="s">
        <v>569</v>
      </c>
      <c r="K2" s="722" t="s">
        <v>120</v>
      </c>
      <c r="L2" s="722" t="s">
        <v>121</v>
      </c>
      <c r="M2" s="718" t="s">
        <v>122</v>
      </c>
      <c r="N2" s="718" t="s">
        <v>123</v>
      </c>
      <c r="O2" s="718" t="s">
        <v>124</v>
      </c>
      <c r="P2" s="719" t="s">
        <v>367</v>
      </c>
    </row>
    <row r="3" spans="1:17" s="607" customFormat="1" ht="15" customHeight="1" thickBot="1" x14ac:dyDescent="0.25">
      <c r="A3" s="840" t="s">
        <v>686</v>
      </c>
      <c r="B3" s="841"/>
      <c r="C3" s="841"/>
      <c r="D3" s="841"/>
      <c r="E3" s="841"/>
      <c r="F3" s="841"/>
      <c r="G3" s="841"/>
      <c r="H3" s="841"/>
      <c r="I3" s="841"/>
      <c r="J3" s="841"/>
      <c r="K3" s="841"/>
      <c r="L3" s="841"/>
      <c r="M3" s="841"/>
      <c r="N3" s="841"/>
      <c r="O3" s="841"/>
      <c r="P3" s="842"/>
    </row>
    <row r="4" spans="1:17" s="616" customFormat="1" x14ac:dyDescent="0.2">
      <c r="A4" s="834" t="s">
        <v>657</v>
      </c>
      <c r="B4" s="608" t="s">
        <v>659</v>
      </c>
      <c r="C4" s="609" t="s">
        <v>660</v>
      </c>
      <c r="D4" s="726">
        <v>0</v>
      </c>
      <c r="E4" s="673">
        <v>0</v>
      </c>
      <c r="F4" s="610">
        <f>(210/12)</f>
        <v>17.5</v>
      </c>
      <c r="G4" s="610">
        <v>6</v>
      </c>
      <c r="H4" s="610" t="s">
        <v>702</v>
      </c>
      <c r="I4" s="610">
        <v>1</v>
      </c>
      <c r="J4" s="611" t="s">
        <v>22</v>
      </c>
      <c r="K4" s="612">
        <f>+IF(J4="USD",F4*Parametros!$B$21,F4)</f>
        <v>56000</v>
      </c>
      <c r="L4" s="613">
        <f>IF(H4="Única",D4*K4*(1+E4),D4*K4*(1+E4)*I4)</f>
        <v>0</v>
      </c>
      <c r="M4" s="614"/>
      <c r="N4" s="614"/>
      <c r="O4" s="614"/>
      <c r="P4" s="615" t="s">
        <v>363</v>
      </c>
    </row>
    <row r="5" spans="1:17" s="625" customFormat="1" x14ac:dyDescent="0.2">
      <c r="A5" s="835"/>
      <c r="B5" s="668" t="s">
        <v>659</v>
      </c>
      <c r="C5" s="617" t="s">
        <v>661</v>
      </c>
      <c r="D5" s="618">
        <v>0</v>
      </c>
      <c r="E5" s="674">
        <v>0</v>
      </c>
      <c r="F5" s="619">
        <v>710.4</v>
      </c>
      <c r="G5" s="610">
        <v>6</v>
      </c>
      <c r="H5" s="610" t="s">
        <v>703</v>
      </c>
      <c r="I5" s="610" t="s">
        <v>700</v>
      </c>
      <c r="J5" s="611" t="s">
        <v>22</v>
      </c>
      <c r="K5" s="621">
        <f>+IF(J5="USD",F5*Parametros!$B$21,F5)</f>
        <v>2273280</v>
      </c>
      <c r="L5" s="613">
        <f>IF(H5="Única",D5*K5*(1+E5),D5*K5*(1+E5)*I5)</f>
        <v>0</v>
      </c>
      <c r="M5" s="622"/>
      <c r="N5" s="623"/>
      <c r="O5" s="623"/>
      <c r="P5" s="624" t="s">
        <v>363</v>
      </c>
    </row>
    <row r="6" spans="1:17" s="625" customFormat="1" ht="12.75" customHeight="1" x14ac:dyDescent="0.2">
      <c r="A6" s="836"/>
      <c r="B6" s="626" t="s">
        <v>659</v>
      </c>
      <c r="C6" s="617" t="s">
        <v>662</v>
      </c>
      <c r="D6" s="618">
        <v>0</v>
      </c>
      <c r="E6" s="674">
        <v>0</v>
      </c>
      <c r="F6" s="619">
        <v>174.74</v>
      </c>
      <c r="G6" s="610">
        <v>6</v>
      </c>
      <c r="H6" s="610" t="s">
        <v>703</v>
      </c>
      <c r="I6" s="610" t="s">
        <v>700</v>
      </c>
      <c r="J6" s="611" t="s">
        <v>22</v>
      </c>
      <c r="K6" s="621">
        <f>+IF(J6="USD",F6*Parametros!$B$21,F6)</f>
        <v>559168</v>
      </c>
      <c r="L6" s="613">
        <f>IF(H6="Única",D6*K6*(1+E6),D6*K6*(1+E6)*I6)</f>
        <v>0</v>
      </c>
      <c r="M6" s="622"/>
      <c r="N6" s="623"/>
      <c r="O6" s="623"/>
      <c r="P6" s="624" t="s">
        <v>363</v>
      </c>
    </row>
    <row r="7" spans="1:17" s="616" customFormat="1" x14ac:dyDescent="0.2">
      <c r="A7" s="839" t="s">
        <v>204</v>
      </c>
      <c r="B7" s="626" t="s">
        <v>307</v>
      </c>
      <c r="C7" s="617" t="s">
        <v>664</v>
      </c>
      <c r="D7" s="618">
        <v>0</v>
      </c>
      <c r="E7" s="674">
        <v>0</v>
      </c>
      <c r="F7" s="619">
        <v>199</v>
      </c>
      <c r="G7" s="610">
        <v>6</v>
      </c>
      <c r="H7" s="610" t="s">
        <v>703</v>
      </c>
      <c r="I7" s="610" t="s">
        <v>700</v>
      </c>
      <c r="J7" s="611" t="s">
        <v>22</v>
      </c>
      <c r="K7" s="621">
        <f>+IF(J7="USD",F7*Parametros!$B$21,F7)</f>
        <v>636800</v>
      </c>
      <c r="L7" s="613">
        <f t="shared" ref="L7:L91" si="0">IF(H7="Única",D7*K7*(1+E7),D7*K7*(1+E7)*I7)</f>
        <v>0</v>
      </c>
      <c r="M7" s="622"/>
      <c r="N7" s="622"/>
      <c r="O7" s="622"/>
      <c r="P7" s="624" t="s">
        <v>363</v>
      </c>
    </row>
    <row r="8" spans="1:17" s="616" customFormat="1" x14ac:dyDescent="0.2">
      <c r="A8" s="835"/>
      <c r="B8" s="626" t="s">
        <v>307</v>
      </c>
      <c r="C8" s="617" t="s">
        <v>665</v>
      </c>
      <c r="D8" s="618">
        <v>0</v>
      </c>
      <c r="E8" s="674">
        <v>0</v>
      </c>
      <c r="F8" s="619">
        <v>337.45</v>
      </c>
      <c r="G8" s="610">
        <v>6</v>
      </c>
      <c r="H8" s="610" t="s">
        <v>702</v>
      </c>
      <c r="I8" s="610"/>
      <c r="J8" s="611" t="s">
        <v>22</v>
      </c>
      <c r="K8" s="621">
        <f>+IF(J8="USD",F8*Parametros!$B$21,F8)</f>
        <v>1079840</v>
      </c>
      <c r="L8" s="613">
        <f t="shared" si="0"/>
        <v>0</v>
      </c>
      <c r="M8" s="622"/>
      <c r="N8" s="622"/>
      <c r="O8" s="622"/>
      <c r="P8" s="624" t="s">
        <v>363</v>
      </c>
    </row>
    <row r="9" spans="1:17" s="630" customFormat="1" x14ac:dyDescent="0.2">
      <c r="A9" s="835"/>
      <c r="B9" s="627" t="s">
        <v>307</v>
      </c>
      <c r="C9" s="628" t="s">
        <v>666</v>
      </c>
      <c r="D9" s="618">
        <v>0</v>
      </c>
      <c r="E9" s="675">
        <v>0</v>
      </c>
      <c r="F9" s="619">
        <v>929.78</v>
      </c>
      <c r="G9" s="610">
        <v>6</v>
      </c>
      <c r="H9" s="610" t="s">
        <v>703</v>
      </c>
      <c r="I9" s="610" t="s">
        <v>700</v>
      </c>
      <c r="J9" s="611" t="s">
        <v>22</v>
      </c>
      <c r="K9" s="621">
        <f>+IF(J9="USD",F9*Parametros!$B$21,F9)</f>
        <v>2975296</v>
      </c>
      <c r="L9" s="613">
        <f t="shared" si="0"/>
        <v>0</v>
      </c>
      <c r="M9" s="622"/>
      <c r="N9" s="629"/>
      <c r="O9" s="629"/>
      <c r="P9" s="624" t="s">
        <v>363</v>
      </c>
    </row>
    <row r="10" spans="1:17" s="630" customFormat="1" x14ac:dyDescent="0.2">
      <c r="A10" s="836"/>
      <c r="B10" s="627" t="s">
        <v>663</v>
      </c>
      <c r="C10" s="628" t="s">
        <v>664</v>
      </c>
      <c r="D10" s="618">
        <v>1</v>
      </c>
      <c r="E10" s="675">
        <v>0</v>
      </c>
      <c r="F10" s="619">
        <v>250</v>
      </c>
      <c r="G10" s="610">
        <v>6</v>
      </c>
      <c r="H10" s="610" t="s">
        <v>703</v>
      </c>
      <c r="I10" s="610" t="s">
        <v>700</v>
      </c>
      <c r="J10" s="611" t="s">
        <v>22</v>
      </c>
      <c r="K10" s="621">
        <f>+IF(J10="USD",F10*Parametros!$B$21,F10)</f>
        <v>800000</v>
      </c>
      <c r="L10" s="613">
        <f t="shared" si="0"/>
        <v>800000</v>
      </c>
      <c r="M10" s="622"/>
      <c r="N10" s="629"/>
      <c r="O10" s="629"/>
      <c r="P10" s="624" t="s">
        <v>363</v>
      </c>
    </row>
    <row r="11" spans="1:17" s="616" customFormat="1" x14ac:dyDescent="0.2">
      <c r="A11" s="839" t="s">
        <v>667</v>
      </c>
      <c r="B11" s="626" t="s">
        <v>663</v>
      </c>
      <c r="C11" s="617" t="s">
        <v>668</v>
      </c>
      <c r="D11" s="618">
        <v>0</v>
      </c>
      <c r="E11" s="674">
        <v>0</v>
      </c>
      <c r="F11" s="619">
        <v>380.85</v>
      </c>
      <c r="G11" s="610">
        <v>6</v>
      </c>
      <c r="H11" s="610" t="s">
        <v>703</v>
      </c>
      <c r="I11" s="610" t="s">
        <v>700</v>
      </c>
      <c r="J11" s="611" t="s">
        <v>22</v>
      </c>
      <c r="K11" s="621">
        <f>+IF(J11="USD",F11*Parametros!$B$21,F11)</f>
        <v>1218720</v>
      </c>
      <c r="L11" s="613">
        <f t="shared" si="0"/>
        <v>0</v>
      </c>
      <c r="M11" s="622"/>
      <c r="N11" s="622"/>
      <c r="O11" s="622"/>
      <c r="P11" s="624" t="s">
        <v>363</v>
      </c>
    </row>
    <row r="12" spans="1:17" s="616" customFormat="1" x14ac:dyDescent="0.2">
      <c r="A12" s="835"/>
      <c r="B12" s="626" t="s">
        <v>663</v>
      </c>
      <c r="C12" s="617" t="s">
        <v>669</v>
      </c>
      <c r="D12" s="618">
        <v>0</v>
      </c>
      <c r="E12" s="674">
        <v>0</v>
      </c>
      <c r="F12" s="619">
        <v>60</v>
      </c>
      <c r="G12" s="610">
        <v>6</v>
      </c>
      <c r="H12" s="610" t="s">
        <v>702</v>
      </c>
      <c r="I12" s="610"/>
      <c r="J12" s="611" t="s">
        <v>22</v>
      </c>
      <c r="K12" s="621">
        <f>+IF(J12="USD",F12*Parametros!$B$21,F12)</f>
        <v>192000</v>
      </c>
      <c r="L12" s="613">
        <f t="shared" si="0"/>
        <v>0</v>
      </c>
      <c r="M12" s="622"/>
      <c r="N12" s="622"/>
      <c r="O12" s="622"/>
      <c r="P12" s="624" t="s">
        <v>363</v>
      </c>
    </row>
    <row r="13" spans="1:17" s="616" customFormat="1" x14ac:dyDescent="0.2">
      <c r="A13" s="835"/>
      <c r="B13" s="626" t="s">
        <v>663</v>
      </c>
      <c r="C13" s="617" t="s">
        <v>670</v>
      </c>
      <c r="D13" s="618">
        <v>0</v>
      </c>
      <c r="E13" s="674">
        <v>0</v>
      </c>
      <c r="F13" s="619">
        <v>0</v>
      </c>
      <c r="G13" s="610">
        <v>6</v>
      </c>
      <c r="H13" s="610" t="s">
        <v>703</v>
      </c>
      <c r="I13" s="610" t="s">
        <v>700</v>
      </c>
      <c r="J13" s="611" t="s">
        <v>22</v>
      </c>
      <c r="K13" s="621">
        <f>+IF(J13="USD",F13*Parametros!$B$21,F13)</f>
        <v>0</v>
      </c>
      <c r="L13" s="613">
        <f t="shared" si="0"/>
        <v>0</v>
      </c>
      <c r="M13" s="622"/>
      <c r="N13" s="622"/>
      <c r="O13" s="622"/>
      <c r="P13" s="624" t="s">
        <v>363</v>
      </c>
    </row>
    <row r="14" spans="1:17" s="616" customFormat="1" x14ac:dyDescent="0.2">
      <c r="A14" s="835"/>
      <c r="B14" s="626" t="s">
        <v>663</v>
      </c>
      <c r="C14" s="617" t="s">
        <v>671</v>
      </c>
      <c r="D14" s="618">
        <v>0</v>
      </c>
      <c r="E14" s="674">
        <v>0</v>
      </c>
      <c r="F14" s="619">
        <v>0</v>
      </c>
      <c r="G14" s="610">
        <v>6</v>
      </c>
      <c r="H14" s="610" t="s">
        <v>703</v>
      </c>
      <c r="I14" s="610" t="s">
        <v>700</v>
      </c>
      <c r="J14" s="611" t="s">
        <v>22</v>
      </c>
      <c r="K14" s="621">
        <f>+IF(J14="USD",F14*Parametros!$B$21,F14)</f>
        <v>0</v>
      </c>
      <c r="L14" s="613">
        <f t="shared" si="0"/>
        <v>0</v>
      </c>
      <c r="M14" s="622"/>
      <c r="N14" s="622"/>
      <c r="O14" s="622"/>
      <c r="P14" s="624" t="s">
        <v>363</v>
      </c>
    </row>
    <row r="15" spans="1:17" s="616" customFormat="1" x14ac:dyDescent="0.2">
      <c r="A15" s="835"/>
      <c r="B15" s="626" t="s">
        <v>663</v>
      </c>
      <c r="C15" s="617" t="s">
        <v>672</v>
      </c>
      <c r="D15" s="618">
        <v>0</v>
      </c>
      <c r="E15" s="674">
        <v>0</v>
      </c>
      <c r="F15" s="619">
        <v>532.04999999999995</v>
      </c>
      <c r="G15" s="610">
        <v>6</v>
      </c>
      <c r="H15" s="610" t="s">
        <v>703</v>
      </c>
      <c r="I15" s="610" t="s">
        <v>700</v>
      </c>
      <c r="J15" s="611" t="s">
        <v>22</v>
      </c>
      <c r="K15" s="621">
        <f>+IF(J15="USD",F15*Parametros!$B$21,F15)</f>
        <v>1702559.9999999998</v>
      </c>
      <c r="L15" s="613">
        <f t="shared" si="0"/>
        <v>0</v>
      </c>
      <c r="M15" s="622"/>
      <c r="N15" s="622"/>
      <c r="O15" s="622"/>
      <c r="P15" s="624" t="s">
        <v>363</v>
      </c>
    </row>
    <row r="16" spans="1:17" s="616" customFormat="1" x14ac:dyDescent="0.2">
      <c r="A16" s="835"/>
      <c r="B16" s="626" t="s">
        <v>663</v>
      </c>
      <c r="C16" s="617" t="s">
        <v>673</v>
      </c>
      <c r="D16" s="618">
        <v>0</v>
      </c>
      <c r="E16" s="674">
        <v>0</v>
      </c>
      <c r="F16" s="619">
        <v>6131.05</v>
      </c>
      <c r="G16" s="610">
        <v>6</v>
      </c>
      <c r="H16" s="610" t="s">
        <v>703</v>
      </c>
      <c r="I16" s="610" t="s">
        <v>700</v>
      </c>
      <c r="J16" s="611" t="s">
        <v>22</v>
      </c>
      <c r="K16" s="621">
        <f>+IF(J16="USD",F16*Parametros!$B$21,F16)</f>
        <v>19619360</v>
      </c>
      <c r="L16" s="613">
        <f t="shared" si="0"/>
        <v>0</v>
      </c>
      <c r="M16" s="622"/>
      <c r="N16" s="622"/>
      <c r="O16" s="622"/>
      <c r="P16" s="624" t="s">
        <v>363</v>
      </c>
    </row>
    <row r="17" spans="1:16" s="616" customFormat="1" x14ac:dyDescent="0.2">
      <c r="A17" s="835"/>
      <c r="B17" s="626" t="s">
        <v>663</v>
      </c>
      <c r="C17" s="617" t="s">
        <v>679</v>
      </c>
      <c r="D17" s="618">
        <v>0</v>
      </c>
      <c r="E17" s="674">
        <v>0</v>
      </c>
      <c r="F17" s="619">
        <v>64.540000000000006</v>
      </c>
      <c r="G17" s="610">
        <v>6</v>
      </c>
      <c r="H17" s="610" t="s">
        <v>702</v>
      </c>
      <c r="I17" s="610"/>
      <c r="J17" s="611" t="s">
        <v>22</v>
      </c>
      <c r="K17" s="621">
        <f>+IF(J17="USD",F17*Parametros!$B$21,F17)</f>
        <v>206528.00000000003</v>
      </c>
      <c r="L17" s="613">
        <f t="shared" si="0"/>
        <v>0</v>
      </c>
      <c r="M17" s="622"/>
      <c r="N17" s="622"/>
      <c r="O17" s="622"/>
      <c r="P17" s="624" t="s">
        <v>363</v>
      </c>
    </row>
    <row r="18" spans="1:16" s="616" customFormat="1" x14ac:dyDescent="0.2">
      <c r="A18" s="835"/>
      <c r="B18" s="626" t="s">
        <v>663</v>
      </c>
      <c r="C18" s="617" t="s">
        <v>680</v>
      </c>
      <c r="D18" s="618">
        <v>0</v>
      </c>
      <c r="E18" s="674">
        <v>0</v>
      </c>
      <c r="F18" s="619">
        <v>195.2</v>
      </c>
      <c r="G18" s="610">
        <v>6</v>
      </c>
      <c r="H18" s="610" t="s">
        <v>702</v>
      </c>
      <c r="I18" s="610"/>
      <c r="J18" s="611" t="s">
        <v>22</v>
      </c>
      <c r="K18" s="621">
        <f>+IF(J18="USD",F18*Parametros!$B$21,F18)</f>
        <v>624640</v>
      </c>
      <c r="L18" s="613">
        <f t="shared" si="0"/>
        <v>0</v>
      </c>
      <c r="M18" s="622"/>
      <c r="N18" s="622"/>
      <c r="O18" s="622"/>
      <c r="P18" s="624" t="s">
        <v>363</v>
      </c>
    </row>
    <row r="19" spans="1:16" s="616" customFormat="1" x14ac:dyDescent="0.2">
      <c r="A19" s="835"/>
      <c r="B19" s="626" t="s">
        <v>663</v>
      </c>
      <c r="C19" s="617" t="s">
        <v>705</v>
      </c>
      <c r="D19" s="618">
        <v>0</v>
      </c>
      <c r="E19" s="674">
        <v>0</v>
      </c>
      <c r="F19" s="619">
        <v>1499.99</v>
      </c>
      <c r="G19" s="610">
        <v>6</v>
      </c>
      <c r="H19" s="610" t="s">
        <v>703</v>
      </c>
      <c r="I19" s="610" t="s">
        <v>700</v>
      </c>
      <c r="J19" s="611" t="s">
        <v>22</v>
      </c>
      <c r="K19" s="621">
        <f>+IF(J19="USD",F19*Parametros!$B$21,F19)</f>
        <v>4799968</v>
      </c>
      <c r="L19" s="613">
        <f t="shared" si="0"/>
        <v>0</v>
      </c>
      <c r="M19" s="622"/>
      <c r="N19" s="622"/>
      <c r="O19" s="622"/>
      <c r="P19" s="624" t="s">
        <v>363</v>
      </c>
    </row>
    <row r="20" spans="1:16" s="616" customFormat="1" x14ac:dyDescent="0.2">
      <c r="A20" s="835"/>
      <c r="B20" s="626" t="s">
        <v>663</v>
      </c>
      <c r="C20" s="617" t="s">
        <v>706</v>
      </c>
      <c r="D20" s="618">
        <v>0</v>
      </c>
      <c r="E20" s="674">
        <v>0</v>
      </c>
      <c r="F20" s="619">
        <v>1995</v>
      </c>
      <c r="G20" s="610">
        <v>6</v>
      </c>
      <c r="H20" s="610" t="s">
        <v>703</v>
      </c>
      <c r="I20" s="610" t="s">
        <v>700</v>
      </c>
      <c r="J20" s="611" t="s">
        <v>22</v>
      </c>
      <c r="K20" s="621">
        <f>+IF(J20="USD",F20*Parametros!$B$21,F20)</f>
        <v>6384000</v>
      </c>
      <c r="L20" s="613">
        <f t="shared" ref="L20:L21" si="1">IF(H20="Única",D20*K20*(1+E20),D20*K20*(1+E20)*I20)</f>
        <v>0</v>
      </c>
      <c r="M20" s="622"/>
      <c r="N20" s="622"/>
      <c r="O20" s="622"/>
      <c r="P20" s="624" t="s">
        <v>363</v>
      </c>
    </row>
    <row r="21" spans="1:16" s="616" customFormat="1" x14ac:dyDescent="0.2">
      <c r="A21" s="835"/>
      <c r="B21" s="626" t="s">
        <v>663</v>
      </c>
      <c r="C21" s="617" t="s">
        <v>707</v>
      </c>
      <c r="D21" s="618">
        <v>0</v>
      </c>
      <c r="E21" s="674">
        <v>0</v>
      </c>
      <c r="F21" s="619">
        <v>1499</v>
      </c>
      <c r="G21" s="610">
        <v>6</v>
      </c>
      <c r="H21" s="610" t="s">
        <v>703</v>
      </c>
      <c r="I21" s="610" t="s">
        <v>700</v>
      </c>
      <c r="J21" s="611" t="s">
        <v>22</v>
      </c>
      <c r="K21" s="621">
        <f>+IF(J21="USD",F21*Parametros!$B$21,F21)</f>
        <v>4796800</v>
      </c>
      <c r="L21" s="613">
        <f t="shared" si="1"/>
        <v>0</v>
      </c>
      <c r="M21" s="622"/>
      <c r="N21" s="622"/>
      <c r="O21" s="622"/>
      <c r="P21" s="624" t="s">
        <v>363</v>
      </c>
    </row>
    <row r="22" spans="1:16" s="616" customFormat="1" x14ac:dyDescent="0.2">
      <c r="A22" s="835"/>
      <c r="B22" s="626" t="s">
        <v>663</v>
      </c>
      <c r="C22" s="617" t="s">
        <v>708</v>
      </c>
      <c r="D22" s="618">
        <v>0</v>
      </c>
      <c r="E22" s="674">
        <v>0</v>
      </c>
      <c r="F22" s="619">
        <v>0</v>
      </c>
      <c r="G22" s="610">
        <v>6</v>
      </c>
      <c r="H22" s="610" t="s">
        <v>703</v>
      </c>
      <c r="I22" s="610" t="s">
        <v>700</v>
      </c>
      <c r="J22" s="611" t="s">
        <v>22</v>
      </c>
      <c r="K22" s="621">
        <f>+IF(J22="USD",F22*Parametros!$B$21,F22)</f>
        <v>0</v>
      </c>
      <c r="L22" s="613">
        <f t="shared" ref="L22" si="2">IF(H22="Única",D22*K22*(1+E22),D22*K22*(1+E22)*I22)</f>
        <v>0</v>
      </c>
      <c r="M22" s="622"/>
      <c r="N22" s="622"/>
      <c r="O22" s="622"/>
      <c r="P22" s="624" t="s">
        <v>363</v>
      </c>
    </row>
    <row r="23" spans="1:16" s="616" customFormat="1" x14ac:dyDescent="0.2">
      <c r="A23" s="836"/>
      <c r="B23" s="626" t="s">
        <v>663</v>
      </c>
      <c r="C23" s="617" t="s">
        <v>674</v>
      </c>
      <c r="D23" s="618">
        <v>0</v>
      </c>
      <c r="E23" s="674">
        <v>0</v>
      </c>
      <c r="F23" s="619">
        <v>0</v>
      </c>
      <c r="G23" s="610">
        <v>6</v>
      </c>
      <c r="H23" s="610" t="s">
        <v>703</v>
      </c>
      <c r="I23" s="610" t="s">
        <v>700</v>
      </c>
      <c r="J23" s="611" t="s">
        <v>22</v>
      </c>
      <c r="K23" s="621">
        <f>+IF(J23="USD",F23*Parametros!$B$21,F23)</f>
        <v>0</v>
      </c>
      <c r="L23" s="613">
        <f t="shared" si="0"/>
        <v>0</v>
      </c>
      <c r="M23" s="622"/>
      <c r="N23" s="622"/>
      <c r="O23" s="622"/>
      <c r="P23" s="624" t="s">
        <v>363</v>
      </c>
    </row>
    <row r="24" spans="1:16" s="616" customFormat="1" x14ac:dyDescent="0.2">
      <c r="A24" s="839" t="s">
        <v>205</v>
      </c>
      <c r="B24" s="626" t="s">
        <v>659</v>
      </c>
      <c r="C24" s="617" t="s">
        <v>660</v>
      </c>
      <c r="D24" s="618">
        <v>1</v>
      </c>
      <c r="E24" s="674">
        <v>0</v>
      </c>
      <c r="F24" s="610">
        <v>17.5</v>
      </c>
      <c r="G24" s="610">
        <v>6</v>
      </c>
      <c r="H24" s="610" t="s">
        <v>702</v>
      </c>
      <c r="I24" s="610"/>
      <c r="J24" s="611" t="s">
        <v>22</v>
      </c>
      <c r="K24" s="621">
        <f>+IF(J24="USD",F24*Parametros!$B$21,F24)</f>
        <v>56000</v>
      </c>
      <c r="L24" s="613">
        <f t="shared" si="0"/>
        <v>0</v>
      </c>
      <c r="M24" s="622"/>
      <c r="N24" s="622"/>
      <c r="O24" s="622"/>
      <c r="P24" s="624" t="s">
        <v>363</v>
      </c>
    </row>
    <row r="25" spans="1:16" s="616" customFormat="1" x14ac:dyDescent="0.2">
      <c r="A25" s="835"/>
      <c r="B25" s="626" t="s">
        <v>659</v>
      </c>
      <c r="C25" s="617" t="s">
        <v>675</v>
      </c>
      <c r="D25" s="618">
        <v>0</v>
      </c>
      <c r="E25" s="674">
        <v>0</v>
      </c>
      <c r="F25" s="619">
        <v>79</v>
      </c>
      <c r="G25" s="610">
        <v>6</v>
      </c>
      <c r="H25" s="610" t="s">
        <v>702</v>
      </c>
      <c r="I25" s="610"/>
      <c r="J25" s="611" t="s">
        <v>22</v>
      </c>
      <c r="K25" s="621">
        <f>+IF(J25="USD",F25*Parametros!$B$21,F25)</f>
        <v>252800</v>
      </c>
      <c r="L25" s="613">
        <f>IF(H25="Única",D25*K25*(1+E25),D25*K25*(1+E25)*I25)</f>
        <v>0</v>
      </c>
      <c r="M25" s="622"/>
      <c r="N25" s="622"/>
      <c r="O25" s="622"/>
      <c r="P25" s="624" t="s">
        <v>363</v>
      </c>
    </row>
    <row r="26" spans="1:16" s="616" customFormat="1" x14ac:dyDescent="0.2">
      <c r="A26" s="836"/>
      <c r="B26" s="626" t="s">
        <v>307</v>
      </c>
      <c r="C26" s="617" t="s">
        <v>676</v>
      </c>
      <c r="D26" s="618">
        <v>0</v>
      </c>
      <c r="E26" s="674">
        <v>0</v>
      </c>
      <c r="F26" s="619">
        <v>0</v>
      </c>
      <c r="G26" s="610">
        <v>6</v>
      </c>
      <c r="H26" s="610" t="s">
        <v>703</v>
      </c>
      <c r="I26" s="610" t="s">
        <v>700</v>
      </c>
      <c r="J26" s="611" t="s">
        <v>22</v>
      </c>
      <c r="K26" s="621">
        <f>+IF(J26="USD",F26*Parametros!$B$21,F26)</f>
        <v>0</v>
      </c>
      <c r="L26" s="613">
        <f t="shared" si="0"/>
        <v>0</v>
      </c>
      <c r="M26" s="622"/>
      <c r="N26" s="622"/>
      <c r="O26" s="622"/>
      <c r="P26" s="624" t="s">
        <v>363</v>
      </c>
    </row>
    <row r="27" spans="1:16" s="616" customFormat="1" ht="12.75" customHeight="1" x14ac:dyDescent="0.2">
      <c r="A27" s="631" t="s">
        <v>677</v>
      </c>
      <c r="B27" s="626" t="s">
        <v>659</v>
      </c>
      <c r="C27" s="617" t="s">
        <v>678</v>
      </c>
      <c r="D27" s="618">
        <v>0</v>
      </c>
      <c r="E27" s="674">
        <v>0</v>
      </c>
      <c r="F27" s="619">
        <v>595</v>
      </c>
      <c r="G27" s="610">
        <v>6</v>
      </c>
      <c r="H27" s="610" t="s">
        <v>703</v>
      </c>
      <c r="I27" s="610" t="s">
        <v>700</v>
      </c>
      <c r="J27" s="611" t="s">
        <v>22</v>
      </c>
      <c r="K27" s="621">
        <f>+IF(J27="USD",F27*Parametros!$B$21,F27)</f>
        <v>1904000</v>
      </c>
      <c r="L27" s="613">
        <f t="shared" si="0"/>
        <v>0</v>
      </c>
      <c r="M27" s="622"/>
      <c r="N27" s="622"/>
      <c r="O27" s="622"/>
      <c r="P27" s="624" t="s">
        <v>363</v>
      </c>
    </row>
    <row r="28" spans="1:16" s="616" customFormat="1" x14ac:dyDescent="0.2">
      <c r="A28" s="839" t="s">
        <v>681</v>
      </c>
      <c r="B28" s="626" t="s">
        <v>308</v>
      </c>
      <c r="C28" s="617" t="s">
        <v>682</v>
      </c>
      <c r="D28" s="618">
        <v>0</v>
      </c>
      <c r="E28" s="674">
        <v>0</v>
      </c>
      <c r="F28" s="619">
        <v>1579</v>
      </c>
      <c r="G28" s="610">
        <v>6</v>
      </c>
      <c r="H28" s="610" t="s">
        <v>703</v>
      </c>
      <c r="I28" s="610" t="s">
        <v>700</v>
      </c>
      <c r="J28" s="611" t="s">
        <v>22</v>
      </c>
      <c r="K28" s="621">
        <f>+IF(J28="USD",F28*Parametros!$B$21,F28)</f>
        <v>5052800</v>
      </c>
      <c r="L28" s="613">
        <f>IF(H28="Única",D28*K28*(1+E28),D28*K28*(1+E28)*I28)</f>
        <v>0</v>
      </c>
      <c r="M28" s="622"/>
      <c r="N28" s="622"/>
      <c r="O28" s="622"/>
      <c r="P28" s="624" t="s">
        <v>363</v>
      </c>
    </row>
    <row r="29" spans="1:16" s="616" customFormat="1" x14ac:dyDescent="0.2">
      <c r="A29" s="835"/>
      <c r="B29" s="626" t="s">
        <v>683</v>
      </c>
      <c r="C29" s="617" t="s">
        <v>682</v>
      </c>
      <c r="D29" s="618">
        <v>0</v>
      </c>
      <c r="E29" s="674">
        <v>0</v>
      </c>
      <c r="F29" s="619">
        <v>1579</v>
      </c>
      <c r="G29" s="610">
        <v>6</v>
      </c>
      <c r="H29" s="610" t="s">
        <v>703</v>
      </c>
      <c r="I29" s="610" t="s">
        <v>700</v>
      </c>
      <c r="J29" s="611" t="s">
        <v>22</v>
      </c>
      <c r="K29" s="621">
        <f>+IF(J29="USD",F29*Parametros!$B$21,F29)</f>
        <v>5052800</v>
      </c>
      <c r="L29" s="613">
        <f t="shared" si="0"/>
        <v>0</v>
      </c>
      <c r="M29" s="622"/>
      <c r="N29" s="622"/>
      <c r="O29" s="622"/>
      <c r="P29" s="624" t="s">
        <v>363</v>
      </c>
    </row>
    <row r="30" spans="1:16" s="616" customFormat="1" x14ac:dyDescent="0.2">
      <c r="A30" s="835"/>
      <c r="B30" s="626" t="s">
        <v>684</v>
      </c>
      <c r="C30" s="617" t="s">
        <v>660</v>
      </c>
      <c r="D30" s="618">
        <v>0</v>
      </c>
      <c r="E30" s="674">
        <v>0</v>
      </c>
      <c r="F30" s="610">
        <f>(210/12)</f>
        <v>17.5</v>
      </c>
      <c r="G30" s="610">
        <v>6</v>
      </c>
      <c r="H30" s="610" t="s">
        <v>702</v>
      </c>
      <c r="I30" s="610"/>
      <c r="J30" s="611" t="s">
        <v>22</v>
      </c>
      <c r="K30" s="621">
        <f>+IF(J30="USD",F30*Parametros!$B$21,F30)</f>
        <v>56000</v>
      </c>
      <c r="L30" s="613">
        <f t="shared" si="0"/>
        <v>0</v>
      </c>
      <c r="M30" s="622"/>
      <c r="N30" s="622"/>
      <c r="O30" s="622"/>
      <c r="P30" s="624" t="s">
        <v>363</v>
      </c>
    </row>
    <row r="31" spans="1:16" s="616" customFormat="1" x14ac:dyDescent="0.2">
      <c r="A31" s="836"/>
      <c r="B31" s="626" t="s">
        <v>308</v>
      </c>
      <c r="C31" s="617" t="s">
        <v>685</v>
      </c>
      <c r="D31" s="618">
        <v>0</v>
      </c>
      <c r="E31" s="674">
        <v>0</v>
      </c>
      <c r="F31" s="619">
        <v>174.74</v>
      </c>
      <c r="G31" s="610">
        <v>6</v>
      </c>
      <c r="H31" s="610" t="s">
        <v>703</v>
      </c>
      <c r="I31" s="610" t="s">
        <v>700</v>
      </c>
      <c r="J31" s="611" t="s">
        <v>22</v>
      </c>
      <c r="K31" s="621">
        <f>+IF(J31="USD",F31*Parametros!$B$21,F31)</f>
        <v>559168</v>
      </c>
      <c r="L31" s="613">
        <f t="shared" si="0"/>
        <v>0</v>
      </c>
      <c r="M31" s="622"/>
      <c r="N31" s="622"/>
      <c r="O31" s="622"/>
      <c r="P31" s="624" t="s">
        <v>363</v>
      </c>
    </row>
    <row r="32" spans="1:16" s="616" customFormat="1" ht="13.5" thickBot="1" x14ac:dyDescent="0.25">
      <c r="A32" s="697" t="s">
        <v>307</v>
      </c>
      <c r="B32" s="626" t="s">
        <v>307</v>
      </c>
      <c r="C32" s="626" t="s">
        <v>660</v>
      </c>
      <c r="D32" s="618">
        <v>0</v>
      </c>
      <c r="E32" s="676">
        <v>0</v>
      </c>
      <c r="F32" s="610">
        <f>(210/12)</f>
        <v>17.5</v>
      </c>
      <c r="G32" s="610">
        <v>6</v>
      </c>
      <c r="H32" s="610" t="s">
        <v>702</v>
      </c>
      <c r="I32" s="610"/>
      <c r="J32" s="611" t="s">
        <v>22</v>
      </c>
      <c r="K32" s="621">
        <f>+IF(J32="USD",F32*Parametros!$B$21,F32)</f>
        <v>56000</v>
      </c>
      <c r="L32" s="613">
        <f>IF(H32="Única",D32*K32*(1+E32),D32*K32*(1+E32)*I32)</f>
        <v>0</v>
      </c>
      <c r="M32" s="622"/>
      <c r="N32" s="622"/>
      <c r="O32" s="622"/>
      <c r="P32" s="624" t="s">
        <v>363</v>
      </c>
    </row>
    <row r="33" spans="1:16" s="616" customFormat="1" ht="13.5" customHeight="1" thickBot="1" x14ac:dyDescent="0.25">
      <c r="A33" s="840" t="s">
        <v>709</v>
      </c>
      <c r="B33" s="841"/>
      <c r="C33" s="841"/>
      <c r="D33" s="841"/>
      <c r="E33" s="841"/>
      <c r="F33" s="841"/>
      <c r="G33" s="841"/>
      <c r="H33" s="841"/>
      <c r="I33" s="841"/>
      <c r="J33" s="841"/>
      <c r="K33" s="841"/>
      <c r="L33" s="841"/>
      <c r="M33" s="841"/>
      <c r="N33" s="841"/>
      <c r="O33" s="841"/>
      <c r="P33" s="842"/>
    </row>
    <row r="34" spans="1:16" s="616" customFormat="1" ht="12.75" customHeight="1" x14ac:dyDescent="0.2">
      <c r="A34" s="850" t="s">
        <v>710</v>
      </c>
      <c r="B34" s="853" t="s">
        <v>727</v>
      </c>
      <c r="C34" s="633" t="s">
        <v>711</v>
      </c>
      <c r="D34" s="634">
        <v>0</v>
      </c>
      <c r="E34" s="677">
        <v>0</v>
      </c>
      <c r="F34" s="636">
        <v>5000000</v>
      </c>
      <c r="G34" s="636"/>
      <c r="H34" s="669" t="s">
        <v>703</v>
      </c>
      <c r="I34" s="669"/>
      <c r="J34" s="637" t="s">
        <v>153</v>
      </c>
      <c r="K34" s="638">
        <f>+IF(J34="USD",F34*Parametros!$B$21,F34)</f>
        <v>5000000</v>
      </c>
      <c r="L34" s="686">
        <f t="shared" ref="L34:L46" si="3">IF(H34="Única",D34*K34*(1+E34),D34*K34*(1+E34)*I34)</f>
        <v>0</v>
      </c>
      <c r="M34" s="635"/>
      <c r="N34" s="635"/>
      <c r="O34" s="635"/>
      <c r="P34" s="640" t="s">
        <v>363</v>
      </c>
    </row>
    <row r="35" spans="1:16" s="616" customFormat="1" x14ac:dyDescent="0.2">
      <c r="A35" s="851"/>
      <c r="B35" s="854"/>
      <c r="C35" s="626" t="s">
        <v>712</v>
      </c>
      <c r="D35" s="618">
        <v>0</v>
      </c>
      <c r="E35" s="676">
        <v>0</v>
      </c>
      <c r="F35" s="632">
        <v>0</v>
      </c>
      <c r="G35" s="632"/>
      <c r="H35" s="632" t="s">
        <v>703</v>
      </c>
      <c r="I35" s="610"/>
      <c r="J35" s="620" t="s">
        <v>153</v>
      </c>
      <c r="K35" s="621">
        <f>+IF(J35="USD",F35*Parametros!$B$21,F35)</f>
        <v>0</v>
      </c>
      <c r="L35" s="687">
        <f t="shared" si="3"/>
        <v>0</v>
      </c>
      <c r="M35" s="622"/>
      <c r="N35" s="622"/>
      <c r="O35" s="622"/>
      <c r="P35" s="624" t="s">
        <v>363</v>
      </c>
    </row>
    <row r="36" spans="1:16" s="616" customFormat="1" x14ac:dyDescent="0.2">
      <c r="A36" s="851"/>
      <c r="B36" s="854"/>
      <c r="C36" s="626" t="s">
        <v>713</v>
      </c>
      <c r="D36" s="618">
        <v>0</v>
      </c>
      <c r="E36" s="676">
        <v>0</v>
      </c>
      <c r="F36" s="632">
        <v>0</v>
      </c>
      <c r="G36" s="632"/>
      <c r="H36" s="632" t="s">
        <v>703</v>
      </c>
      <c r="I36" s="610"/>
      <c r="J36" s="620" t="s">
        <v>153</v>
      </c>
      <c r="K36" s="621">
        <f>+IF(J36="USD",F36*Parametros!$B$21,F36)</f>
        <v>0</v>
      </c>
      <c r="L36" s="687">
        <f t="shared" si="3"/>
        <v>0</v>
      </c>
      <c r="M36" s="622"/>
      <c r="N36" s="622"/>
      <c r="O36" s="622"/>
      <c r="P36" s="624" t="s">
        <v>363</v>
      </c>
    </row>
    <row r="37" spans="1:16" s="616" customFormat="1" x14ac:dyDescent="0.2">
      <c r="A37" s="851"/>
      <c r="B37" s="854"/>
      <c r="C37" s="626" t="s">
        <v>714</v>
      </c>
      <c r="D37" s="618">
        <v>0</v>
      </c>
      <c r="E37" s="676">
        <v>0</v>
      </c>
      <c r="F37" s="632">
        <v>5000000</v>
      </c>
      <c r="G37" s="632"/>
      <c r="H37" s="632" t="s">
        <v>703</v>
      </c>
      <c r="I37" s="610"/>
      <c r="J37" s="620" t="s">
        <v>153</v>
      </c>
      <c r="K37" s="621">
        <f>+IF(J37="USD",F37*Parametros!$B$21,F37)</f>
        <v>5000000</v>
      </c>
      <c r="L37" s="687">
        <f t="shared" ref="L37:L44" si="4">IF(H37="Única",D37*K37*(1+E37),D37*K37*(1+E37)*I37)</f>
        <v>0</v>
      </c>
      <c r="M37" s="622"/>
      <c r="N37" s="622"/>
      <c r="O37" s="622"/>
      <c r="P37" s="624" t="s">
        <v>363</v>
      </c>
    </row>
    <row r="38" spans="1:16" s="616" customFormat="1" x14ac:dyDescent="0.2">
      <c r="A38" s="851"/>
      <c r="B38" s="854"/>
      <c r="C38" s="626" t="s">
        <v>717</v>
      </c>
      <c r="D38" s="618">
        <v>0</v>
      </c>
      <c r="E38" s="676">
        <v>0</v>
      </c>
      <c r="F38" s="632">
        <v>5000000</v>
      </c>
      <c r="G38" s="632"/>
      <c r="H38" s="632" t="s">
        <v>703</v>
      </c>
      <c r="I38" s="610"/>
      <c r="J38" s="620" t="s">
        <v>153</v>
      </c>
      <c r="K38" s="621">
        <f>+IF(J38="USD",F38*Parametros!$B$21,F38)</f>
        <v>5000000</v>
      </c>
      <c r="L38" s="687">
        <f t="shared" si="4"/>
        <v>0</v>
      </c>
      <c r="M38" s="622"/>
      <c r="N38" s="622"/>
      <c r="O38" s="622"/>
      <c r="P38" s="624" t="s">
        <v>363</v>
      </c>
    </row>
    <row r="39" spans="1:16" s="616" customFormat="1" x14ac:dyDescent="0.2">
      <c r="A39" s="851"/>
      <c r="B39" s="854"/>
      <c r="C39" s="626" t="s">
        <v>719</v>
      </c>
      <c r="D39" s="618">
        <v>0</v>
      </c>
      <c r="E39" s="676">
        <v>0</v>
      </c>
      <c r="F39" s="632">
        <v>5000000</v>
      </c>
      <c r="G39" s="632"/>
      <c r="H39" s="632" t="s">
        <v>703</v>
      </c>
      <c r="I39" s="610"/>
      <c r="J39" s="620" t="s">
        <v>153</v>
      </c>
      <c r="K39" s="621">
        <f>+IF(J39="USD",F39*Parametros!$B$21,F39)</f>
        <v>5000000</v>
      </c>
      <c r="L39" s="687">
        <f t="shared" si="4"/>
        <v>0</v>
      </c>
      <c r="M39" s="622"/>
      <c r="N39" s="622"/>
      <c r="O39" s="622"/>
      <c r="P39" s="624" t="s">
        <v>363</v>
      </c>
    </row>
    <row r="40" spans="1:16" s="616" customFormat="1" x14ac:dyDescent="0.2">
      <c r="A40" s="851"/>
      <c r="B40" s="854"/>
      <c r="C40" s="626" t="s">
        <v>720</v>
      </c>
      <c r="D40" s="618">
        <v>0</v>
      </c>
      <c r="E40" s="676">
        <v>0</v>
      </c>
      <c r="F40" s="632">
        <v>5000000</v>
      </c>
      <c r="G40" s="632"/>
      <c r="H40" s="632" t="s">
        <v>703</v>
      </c>
      <c r="I40" s="610"/>
      <c r="J40" s="620" t="s">
        <v>153</v>
      </c>
      <c r="K40" s="621">
        <f>+IF(J40="USD",F40*Parametros!$B$21,F40)</f>
        <v>5000000</v>
      </c>
      <c r="L40" s="687">
        <f t="shared" si="4"/>
        <v>0</v>
      </c>
      <c r="M40" s="622"/>
      <c r="N40" s="622"/>
      <c r="O40" s="622"/>
      <c r="P40" s="624" t="s">
        <v>363</v>
      </c>
    </row>
    <row r="41" spans="1:16" s="616" customFormat="1" x14ac:dyDescent="0.2">
      <c r="A41" s="851"/>
      <c r="B41" s="854"/>
      <c r="C41" s="626" t="s">
        <v>722</v>
      </c>
      <c r="D41" s="618">
        <v>0</v>
      </c>
      <c r="E41" s="676">
        <v>0</v>
      </c>
      <c r="F41" s="632">
        <v>5000000</v>
      </c>
      <c r="G41" s="632"/>
      <c r="H41" s="632" t="s">
        <v>703</v>
      </c>
      <c r="I41" s="610"/>
      <c r="J41" s="620" t="s">
        <v>153</v>
      </c>
      <c r="K41" s="621">
        <f>+IF(J41="USD",F41*Parametros!$B$21,F41)</f>
        <v>5000000</v>
      </c>
      <c r="L41" s="687">
        <f t="shared" si="4"/>
        <v>0</v>
      </c>
      <c r="M41" s="622"/>
      <c r="N41" s="622"/>
      <c r="O41" s="622"/>
      <c r="P41" s="624" t="s">
        <v>363</v>
      </c>
    </row>
    <row r="42" spans="1:16" s="616" customFormat="1" x14ac:dyDescent="0.2">
      <c r="A42" s="851"/>
      <c r="B42" s="854"/>
      <c r="C42" s="626" t="s">
        <v>723</v>
      </c>
      <c r="D42" s="618">
        <v>0</v>
      </c>
      <c r="E42" s="676">
        <v>0</v>
      </c>
      <c r="F42" s="632">
        <v>5000000</v>
      </c>
      <c r="G42" s="632"/>
      <c r="H42" s="632" t="s">
        <v>703</v>
      </c>
      <c r="I42" s="610"/>
      <c r="J42" s="620" t="s">
        <v>153</v>
      </c>
      <c r="K42" s="621">
        <f>+IF(J42="USD",F42*Parametros!$B$21,F42)</f>
        <v>5000000</v>
      </c>
      <c r="L42" s="687">
        <f t="shared" si="4"/>
        <v>0</v>
      </c>
      <c r="M42" s="622"/>
      <c r="N42" s="622"/>
      <c r="O42" s="622"/>
      <c r="P42" s="624" t="s">
        <v>363</v>
      </c>
    </row>
    <row r="43" spans="1:16" s="616" customFormat="1" x14ac:dyDescent="0.2">
      <c r="A43" s="851"/>
      <c r="B43" s="854"/>
      <c r="C43" s="626" t="s">
        <v>721</v>
      </c>
      <c r="D43" s="618">
        <v>0</v>
      </c>
      <c r="E43" s="676">
        <v>0</v>
      </c>
      <c r="F43" s="632">
        <v>0</v>
      </c>
      <c r="G43" s="632"/>
      <c r="H43" s="632" t="s">
        <v>703</v>
      </c>
      <c r="I43" s="610"/>
      <c r="J43" s="620" t="s">
        <v>153</v>
      </c>
      <c r="K43" s="621">
        <f>+IF(J43="USD",F43*Parametros!$B$21,F43)</f>
        <v>0</v>
      </c>
      <c r="L43" s="687">
        <f t="shared" si="4"/>
        <v>0</v>
      </c>
      <c r="M43" s="622"/>
      <c r="N43" s="622"/>
      <c r="O43" s="622"/>
      <c r="P43" s="624" t="s">
        <v>363</v>
      </c>
    </row>
    <row r="44" spans="1:16" s="616" customFormat="1" x14ac:dyDescent="0.2">
      <c r="A44" s="851"/>
      <c r="B44" s="854"/>
      <c r="C44" s="626" t="s">
        <v>718</v>
      </c>
      <c r="D44" s="618">
        <v>0</v>
      </c>
      <c r="E44" s="676">
        <v>0</v>
      </c>
      <c r="F44" s="632">
        <v>0</v>
      </c>
      <c r="G44" s="632"/>
      <c r="H44" s="632" t="s">
        <v>703</v>
      </c>
      <c r="I44" s="610"/>
      <c r="J44" s="620" t="s">
        <v>153</v>
      </c>
      <c r="K44" s="621">
        <f>+IF(J44="USD",F44*Parametros!$B$21,F44)</f>
        <v>0</v>
      </c>
      <c r="L44" s="687">
        <f t="shared" si="4"/>
        <v>0</v>
      </c>
      <c r="M44" s="622"/>
      <c r="N44" s="622"/>
      <c r="O44" s="622"/>
      <c r="P44" s="624" t="s">
        <v>363</v>
      </c>
    </row>
    <row r="45" spans="1:16" s="616" customFormat="1" x14ac:dyDescent="0.2">
      <c r="A45" s="851"/>
      <c r="B45" s="854"/>
      <c r="C45" s="626" t="s">
        <v>715</v>
      </c>
      <c r="D45" s="618">
        <v>0</v>
      </c>
      <c r="E45" s="676">
        <v>0</v>
      </c>
      <c r="F45" s="632">
        <v>0</v>
      </c>
      <c r="G45" s="632"/>
      <c r="H45" s="632" t="s">
        <v>703</v>
      </c>
      <c r="I45" s="610"/>
      <c r="J45" s="620" t="s">
        <v>153</v>
      </c>
      <c r="K45" s="621">
        <f>+IF(J45="USD",F45*Parametros!$B$21,F45)</f>
        <v>0</v>
      </c>
      <c r="L45" s="687">
        <f t="shared" si="3"/>
        <v>0</v>
      </c>
      <c r="M45" s="622"/>
      <c r="N45" s="622"/>
      <c r="O45" s="622"/>
      <c r="P45" s="624" t="s">
        <v>363</v>
      </c>
    </row>
    <row r="46" spans="1:16" s="616" customFormat="1" ht="13.5" thickBot="1" x14ac:dyDescent="0.25">
      <c r="A46" s="852"/>
      <c r="B46" s="855"/>
      <c r="C46" s="641" t="s">
        <v>716</v>
      </c>
      <c r="D46" s="642">
        <v>0</v>
      </c>
      <c r="E46" s="678">
        <v>0</v>
      </c>
      <c r="F46" s="644">
        <v>0</v>
      </c>
      <c r="G46" s="683"/>
      <c r="H46" s="632" t="s">
        <v>703</v>
      </c>
      <c r="I46" s="672"/>
      <c r="J46" s="645" t="s">
        <v>153</v>
      </c>
      <c r="K46" s="646">
        <f>+IF(J46="USD",F46*Parametros!$B$21,F46)</f>
        <v>0</v>
      </c>
      <c r="L46" s="688">
        <f t="shared" si="3"/>
        <v>0</v>
      </c>
      <c r="M46" s="643"/>
      <c r="N46" s="643"/>
      <c r="O46" s="643"/>
      <c r="P46" s="647" t="s">
        <v>363</v>
      </c>
    </row>
    <row r="47" spans="1:16" s="616" customFormat="1" ht="13.5" customHeight="1" thickBot="1" x14ac:dyDescent="0.25">
      <c r="A47" s="840" t="s">
        <v>687</v>
      </c>
      <c r="B47" s="841"/>
      <c r="C47" s="841"/>
      <c r="D47" s="841"/>
      <c r="E47" s="841"/>
      <c r="F47" s="841"/>
      <c r="G47" s="841"/>
      <c r="H47" s="841"/>
      <c r="I47" s="841"/>
      <c r="J47" s="841"/>
      <c r="K47" s="841"/>
      <c r="L47" s="841"/>
      <c r="M47" s="841"/>
      <c r="N47" s="841"/>
      <c r="O47" s="841"/>
      <c r="P47" s="842"/>
    </row>
    <row r="48" spans="1:16" s="616" customFormat="1" ht="12.75" customHeight="1" x14ac:dyDescent="0.2">
      <c r="A48" s="850" t="s">
        <v>724</v>
      </c>
      <c r="B48" s="853" t="s">
        <v>726</v>
      </c>
      <c r="C48" s="633" t="s">
        <v>688</v>
      </c>
      <c r="D48" s="634">
        <v>0</v>
      </c>
      <c r="E48" s="677">
        <v>0</v>
      </c>
      <c r="F48" s="636">
        <v>0</v>
      </c>
      <c r="G48" s="636"/>
      <c r="H48" s="669" t="s">
        <v>702</v>
      </c>
      <c r="I48" s="669"/>
      <c r="J48" s="637" t="s">
        <v>22</v>
      </c>
      <c r="K48" s="638">
        <f>+IF(J48="USD",F48*Parametros!$B$21,F48)</f>
        <v>0</v>
      </c>
      <c r="L48" s="639">
        <f t="shared" si="0"/>
        <v>0</v>
      </c>
      <c r="M48" s="635"/>
      <c r="N48" s="635"/>
      <c r="O48" s="635"/>
      <c r="P48" s="640" t="s">
        <v>363</v>
      </c>
    </row>
    <row r="49" spans="1:18" s="616" customFormat="1" x14ac:dyDescent="0.2">
      <c r="A49" s="851"/>
      <c r="B49" s="854"/>
      <c r="C49" s="626" t="s">
        <v>689</v>
      </c>
      <c r="D49" s="618">
        <v>0</v>
      </c>
      <c r="E49" s="676">
        <v>0</v>
      </c>
      <c r="F49" s="632">
        <v>0</v>
      </c>
      <c r="G49" s="632"/>
      <c r="H49" s="632" t="s">
        <v>702</v>
      </c>
      <c r="I49" s="610"/>
      <c r="J49" s="620" t="s">
        <v>22</v>
      </c>
      <c r="K49" s="621">
        <f>+IF(J49="USD",F49*Parametros!$B$21,F49)</f>
        <v>0</v>
      </c>
      <c r="L49" s="613">
        <f t="shared" si="0"/>
        <v>0</v>
      </c>
      <c r="M49" s="622"/>
      <c r="N49" s="622"/>
      <c r="O49" s="622"/>
      <c r="P49" s="624" t="s">
        <v>363</v>
      </c>
    </row>
    <row r="50" spans="1:18" s="616" customFormat="1" x14ac:dyDescent="0.2">
      <c r="A50" s="851"/>
      <c r="B50" s="854"/>
      <c r="C50" s="626" t="s">
        <v>365</v>
      </c>
      <c r="D50" s="618">
        <v>0</v>
      </c>
      <c r="E50" s="676">
        <v>0</v>
      </c>
      <c r="F50" s="632">
        <v>0</v>
      </c>
      <c r="G50" s="632"/>
      <c r="H50" s="632" t="s">
        <v>702</v>
      </c>
      <c r="I50" s="610"/>
      <c r="J50" s="620" t="s">
        <v>22</v>
      </c>
      <c r="K50" s="621">
        <f>+IF(J50="USD",F50*Parametros!$B$21,F50)</f>
        <v>0</v>
      </c>
      <c r="L50" s="613">
        <f t="shared" si="0"/>
        <v>0</v>
      </c>
      <c r="M50" s="622"/>
      <c r="N50" s="622"/>
      <c r="O50" s="622"/>
      <c r="P50" s="624" t="s">
        <v>363</v>
      </c>
    </row>
    <row r="51" spans="1:18" s="616" customFormat="1" x14ac:dyDescent="0.2">
      <c r="A51" s="851"/>
      <c r="B51" s="854"/>
      <c r="C51" s="626" t="s">
        <v>690</v>
      </c>
      <c r="D51" s="618">
        <v>0</v>
      </c>
      <c r="E51" s="676">
        <v>0</v>
      </c>
      <c r="F51" s="632">
        <v>0</v>
      </c>
      <c r="G51" s="632"/>
      <c r="H51" s="632" t="s">
        <v>702</v>
      </c>
      <c r="I51" s="610"/>
      <c r="J51" s="620" t="s">
        <v>22</v>
      </c>
      <c r="K51" s="621">
        <f>+IF(J51="USD",F51*Parametros!$B$21,F51)</f>
        <v>0</v>
      </c>
      <c r="L51" s="613">
        <f t="shared" si="0"/>
        <v>0</v>
      </c>
      <c r="M51" s="622"/>
      <c r="N51" s="622"/>
      <c r="O51" s="622"/>
      <c r="P51" s="624" t="s">
        <v>363</v>
      </c>
    </row>
    <row r="52" spans="1:18" s="616" customFormat="1" x14ac:dyDescent="0.2">
      <c r="A52" s="851"/>
      <c r="B52" s="854"/>
      <c r="C52" s="626" t="s">
        <v>691</v>
      </c>
      <c r="D52" s="618">
        <v>0</v>
      </c>
      <c r="E52" s="676">
        <v>0</v>
      </c>
      <c r="F52" s="632">
        <v>0</v>
      </c>
      <c r="G52" s="632"/>
      <c r="H52" s="632" t="s">
        <v>702</v>
      </c>
      <c r="I52" s="610"/>
      <c r="J52" s="620" t="s">
        <v>22</v>
      </c>
      <c r="K52" s="621">
        <f>+IF(J52="USD",F52*Parametros!$B$21,F52)</f>
        <v>0</v>
      </c>
      <c r="L52" s="613">
        <f t="shared" si="0"/>
        <v>0</v>
      </c>
      <c r="M52" s="622"/>
      <c r="N52" s="622"/>
      <c r="O52" s="622"/>
      <c r="P52" s="624" t="s">
        <v>363</v>
      </c>
    </row>
    <row r="53" spans="1:18" s="616" customFormat="1" ht="13.5" thickBot="1" x14ac:dyDescent="0.25">
      <c r="A53" s="852"/>
      <c r="B53" s="855"/>
      <c r="C53" s="641" t="s">
        <v>692</v>
      </c>
      <c r="D53" s="642">
        <v>0</v>
      </c>
      <c r="E53" s="678">
        <v>0</v>
      </c>
      <c r="F53" s="644">
        <v>0</v>
      </c>
      <c r="G53" s="644"/>
      <c r="H53" s="644" t="s">
        <v>702</v>
      </c>
      <c r="I53" s="672"/>
      <c r="J53" s="645" t="s">
        <v>22</v>
      </c>
      <c r="K53" s="646">
        <f>+IF(J53="USD",F53*Parametros!$B$21,F53)</f>
        <v>0</v>
      </c>
      <c r="L53" s="682">
        <f t="shared" si="0"/>
        <v>0</v>
      </c>
      <c r="M53" s="643"/>
      <c r="N53" s="643"/>
      <c r="O53" s="643"/>
      <c r="P53" s="647" t="s">
        <v>363</v>
      </c>
    </row>
    <row r="54" spans="1:18" s="616" customFormat="1" ht="13.5" customHeight="1" thickBot="1" x14ac:dyDescent="0.25">
      <c r="A54" s="840" t="s">
        <v>773</v>
      </c>
      <c r="B54" s="841"/>
      <c r="C54" s="841"/>
      <c r="D54" s="841"/>
      <c r="E54" s="841"/>
      <c r="F54" s="841"/>
      <c r="G54" s="841"/>
      <c r="H54" s="841"/>
      <c r="I54" s="841"/>
      <c r="J54" s="841"/>
      <c r="K54" s="841"/>
      <c r="L54" s="841"/>
      <c r="M54" s="841"/>
      <c r="N54" s="841"/>
      <c r="O54" s="841"/>
      <c r="P54" s="842"/>
    </row>
    <row r="55" spans="1:18" s="616" customFormat="1" x14ac:dyDescent="0.2">
      <c r="A55" s="670" t="s">
        <v>778</v>
      </c>
      <c r="B55" s="603"/>
      <c r="C55" s="603"/>
      <c r="D55" s="634">
        <v>0</v>
      </c>
      <c r="E55" s="677">
        <v>0</v>
      </c>
      <c r="F55" s="636"/>
      <c r="G55" s="636"/>
      <c r="H55" s="636" t="s">
        <v>703</v>
      </c>
      <c r="I55" s="669"/>
      <c r="J55" s="637" t="s">
        <v>22</v>
      </c>
      <c r="K55" s="638">
        <f>+IF(J55="USD",F55*Parametros!$B$21,F55)</f>
        <v>0</v>
      </c>
      <c r="L55" s="613">
        <f t="shared" ref="L55:L63" si="5">IF(H55="Única",D55*K55*(1+E55),D55*K55*(1+E55)*I55)</f>
        <v>0</v>
      </c>
      <c r="M55" s="635"/>
      <c r="N55" s="635"/>
      <c r="O55" s="635"/>
      <c r="P55" s="640" t="s">
        <v>363</v>
      </c>
    </row>
    <row r="56" spans="1:18" ht="12.75" customHeight="1" x14ac:dyDescent="0.2">
      <c r="A56" s="831" t="s">
        <v>693</v>
      </c>
      <c r="B56" s="602" t="s">
        <v>694</v>
      </c>
      <c r="C56" s="602"/>
      <c r="D56" s="618">
        <v>0</v>
      </c>
      <c r="E56" s="676">
        <v>0</v>
      </c>
      <c r="F56" s="632">
        <v>0</v>
      </c>
      <c r="G56" s="632"/>
      <c r="H56" s="632" t="s">
        <v>703</v>
      </c>
      <c r="I56" s="610"/>
      <c r="J56" s="620" t="s">
        <v>22</v>
      </c>
      <c r="K56" s="621">
        <f>+IF(J56="USD",F56*Parametros!$B$21,F56)</f>
        <v>0</v>
      </c>
      <c r="L56" s="613">
        <f t="shared" si="5"/>
        <v>0</v>
      </c>
      <c r="M56" s="622"/>
      <c r="N56" s="622"/>
      <c r="O56" s="622"/>
      <c r="P56" s="624" t="s">
        <v>363</v>
      </c>
      <c r="Q56" s="606" t="s">
        <v>0</v>
      </c>
    </row>
    <row r="57" spans="1:18" x14ac:dyDescent="0.2">
      <c r="A57" s="832"/>
      <c r="B57" s="602" t="s">
        <v>695</v>
      </c>
      <c r="C57" s="602"/>
      <c r="D57" s="618">
        <v>0</v>
      </c>
      <c r="E57" s="676">
        <v>0</v>
      </c>
      <c r="F57" s="632">
        <v>0</v>
      </c>
      <c r="G57" s="632"/>
      <c r="H57" s="632" t="s">
        <v>703</v>
      </c>
      <c r="I57" s="610"/>
      <c r="J57" s="620" t="s">
        <v>22</v>
      </c>
      <c r="K57" s="621">
        <f>+IF(J57="USD",F57*Parametros!$B$21,F57)</f>
        <v>0</v>
      </c>
      <c r="L57" s="613">
        <f t="shared" si="5"/>
        <v>0</v>
      </c>
      <c r="M57" s="622"/>
      <c r="N57" s="622"/>
      <c r="O57" s="622"/>
      <c r="P57" s="624" t="s">
        <v>363</v>
      </c>
      <c r="R57" s="648" t="s">
        <v>153</v>
      </c>
    </row>
    <row r="58" spans="1:18" x14ac:dyDescent="0.2">
      <c r="A58" s="832"/>
      <c r="B58" s="602" t="s">
        <v>693</v>
      </c>
      <c r="C58" s="602"/>
      <c r="D58" s="618">
        <v>1</v>
      </c>
      <c r="E58" s="679">
        <v>0</v>
      </c>
      <c r="F58" s="649">
        <f>[2]Summary!$I$24</f>
        <v>3322.6500000000005</v>
      </c>
      <c r="G58" s="649"/>
      <c r="H58" s="632" t="s">
        <v>703</v>
      </c>
      <c r="I58" s="610"/>
      <c r="J58" s="620" t="s">
        <v>22</v>
      </c>
      <c r="K58" s="621">
        <f>+IF(J58="USD",F58*Parametros!$B$21,F58)</f>
        <v>10632480.000000002</v>
      </c>
      <c r="L58" s="613">
        <f t="shared" si="5"/>
        <v>10632480.000000002</v>
      </c>
      <c r="M58" s="622"/>
      <c r="N58" s="650"/>
      <c r="O58" s="650"/>
      <c r="P58" s="624" t="s">
        <v>363</v>
      </c>
      <c r="R58" s="648" t="s">
        <v>22</v>
      </c>
    </row>
    <row r="59" spans="1:18" x14ac:dyDescent="0.2">
      <c r="A59" s="843"/>
      <c r="B59" s="602" t="s">
        <v>696</v>
      </c>
      <c r="C59" s="602"/>
      <c r="D59" s="618">
        <v>0</v>
      </c>
      <c r="E59" s="679">
        <v>0</v>
      </c>
      <c r="F59" s="649">
        <v>0</v>
      </c>
      <c r="G59" s="649"/>
      <c r="H59" s="632" t="s">
        <v>703</v>
      </c>
      <c r="I59" s="610"/>
      <c r="J59" s="620" t="s">
        <v>22</v>
      </c>
      <c r="K59" s="621">
        <f>+IF(J59="USD",F59*Parametros!$B$21,F59)</f>
        <v>0</v>
      </c>
      <c r="L59" s="613">
        <f t="shared" si="5"/>
        <v>0</v>
      </c>
      <c r="M59" s="622"/>
      <c r="N59" s="650"/>
      <c r="O59" s="650"/>
      <c r="P59" s="624" t="s">
        <v>363</v>
      </c>
      <c r="R59" s="648" t="s">
        <v>702</v>
      </c>
    </row>
    <row r="60" spans="1:18" ht="12.75" customHeight="1" x14ac:dyDescent="0.2">
      <c r="A60" s="831" t="s">
        <v>697</v>
      </c>
      <c r="B60" s="602" t="s">
        <v>694</v>
      </c>
      <c r="C60" s="602"/>
      <c r="D60" s="618">
        <v>0</v>
      </c>
      <c r="E60" s="679">
        <v>0</v>
      </c>
      <c r="F60" s="649">
        <v>0</v>
      </c>
      <c r="G60" s="649"/>
      <c r="H60" s="632" t="s">
        <v>703</v>
      </c>
      <c r="I60" s="610"/>
      <c r="J60" s="620" t="s">
        <v>22</v>
      </c>
      <c r="K60" s="621">
        <f>+IF(J60="USD",F60*Parametros!$B$21,F60)</f>
        <v>0</v>
      </c>
      <c r="L60" s="613">
        <f t="shared" si="5"/>
        <v>0</v>
      </c>
      <c r="M60" s="622"/>
      <c r="N60" s="650"/>
      <c r="O60" s="650"/>
      <c r="P60" s="624" t="s">
        <v>363</v>
      </c>
      <c r="R60" s="648" t="s">
        <v>703</v>
      </c>
    </row>
    <row r="61" spans="1:18" x14ac:dyDescent="0.2">
      <c r="A61" s="832"/>
      <c r="B61" s="602" t="s">
        <v>695</v>
      </c>
      <c r="C61" s="602"/>
      <c r="D61" s="618">
        <v>0</v>
      </c>
      <c r="E61" s="679">
        <v>0</v>
      </c>
      <c r="F61" s="649">
        <v>0</v>
      </c>
      <c r="G61" s="649"/>
      <c r="H61" s="632" t="s">
        <v>703</v>
      </c>
      <c r="I61" s="610"/>
      <c r="J61" s="620" t="s">
        <v>22</v>
      </c>
      <c r="K61" s="621">
        <f>+IF(J61="USD",F61*Parametros!$B$21,F61)</f>
        <v>0</v>
      </c>
      <c r="L61" s="613">
        <f t="shared" si="5"/>
        <v>0</v>
      </c>
      <c r="M61" s="622"/>
      <c r="N61" s="650"/>
      <c r="O61" s="650"/>
      <c r="P61" s="624" t="s">
        <v>363</v>
      </c>
      <c r="R61" s="648"/>
    </row>
    <row r="62" spans="1:18" x14ac:dyDescent="0.2">
      <c r="A62" s="832"/>
      <c r="B62" s="602" t="s">
        <v>698</v>
      </c>
      <c r="C62" s="602"/>
      <c r="D62" s="618">
        <v>0</v>
      </c>
      <c r="E62" s="679">
        <v>0</v>
      </c>
      <c r="F62" s="649">
        <v>0</v>
      </c>
      <c r="G62" s="649"/>
      <c r="H62" s="632" t="s">
        <v>703</v>
      </c>
      <c r="I62" s="610"/>
      <c r="J62" s="620" t="s">
        <v>22</v>
      </c>
      <c r="K62" s="621">
        <f>+IF(J62="USD",F62*Parametros!$B$21,F62)</f>
        <v>0</v>
      </c>
      <c r="L62" s="613">
        <f t="shared" si="5"/>
        <v>0</v>
      </c>
      <c r="M62" s="622"/>
      <c r="N62" s="650"/>
      <c r="O62" s="650"/>
      <c r="P62" s="624" t="s">
        <v>363</v>
      </c>
      <c r="R62" s="648"/>
    </row>
    <row r="63" spans="1:18" x14ac:dyDescent="0.2">
      <c r="A63" s="843"/>
      <c r="B63" s="602" t="s">
        <v>696</v>
      </c>
      <c r="C63" s="602"/>
      <c r="D63" s="618">
        <v>1</v>
      </c>
      <c r="E63" s="679">
        <v>0</v>
      </c>
      <c r="F63" s="649">
        <f>[2]Summary!$I$20</f>
        <v>5092.7700000000004</v>
      </c>
      <c r="G63" s="649"/>
      <c r="H63" s="632" t="s">
        <v>703</v>
      </c>
      <c r="I63" s="610"/>
      <c r="J63" s="620" t="s">
        <v>22</v>
      </c>
      <c r="K63" s="621">
        <f>+IF(J63="USD",F63*Parametros!$B$21,F63)</f>
        <v>16296864.000000002</v>
      </c>
      <c r="L63" s="613">
        <f t="shared" si="5"/>
        <v>16296864.000000002</v>
      </c>
      <c r="M63" s="622"/>
      <c r="N63" s="650"/>
      <c r="O63" s="650"/>
      <c r="P63" s="624" t="s">
        <v>363</v>
      </c>
      <c r="R63" s="648"/>
    </row>
    <row r="64" spans="1:18" ht="12.75" customHeight="1" x14ac:dyDescent="0.2">
      <c r="A64" s="831" t="s">
        <v>779</v>
      </c>
      <c r="B64" s="602" t="s">
        <v>694</v>
      </c>
      <c r="C64" s="602"/>
      <c r="D64" s="618">
        <v>0</v>
      </c>
      <c r="E64" s="679">
        <v>0</v>
      </c>
      <c r="F64" s="649">
        <v>0</v>
      </c>
      <c r="G64" s="649"/>
      <c r="H64" s="632" t="s">
        <v>703</v>
      </c>
      <c r="I64" s="610"/>
      <c r="J64" s="620" t="s">
        <v>22</v>
      </c>
      <c r="K64" s="621">
        <f>+IF(J64="USD",F64*Parametros!$B$21,F64)</f>
        <v>0</v>
      </c>
      <c r="L64" s="613">
        <f t="shared" ref="L64:L67" si="6">IF(H64="Única",D64*K64*(1+E64),D64*K64*(1+E64)*I64)</f>
        <v>0</v>
      </c>
      <c r="M64" s="622"/>
      <c r="N64" s="650"/>
      <c r="O64" s="650"/>
      <c r="P64" s="624" t="s">
        <v>363</v>
      </c>
      <c r="R64" s="648" t="s">
        <v>703</v>
      </c>
    </row>
    <row r="65" spans="1:18" x14ac:dyDescent="0.2">
      <c r="A65" s="832"/>
      <c r="B65" s="602" t="s">
        <v>695</v>
      </c>
      <c r="C65" s="602"/>
      <c r="D65" s="618">
        <v>0</v>
      </c>
      <c r="E65" s="679">
        <v>0</v>
      </c>
      <c r="F65" s="649">
        <v>0</v>
      </c>
      <c r="G65" s="649"/>
      <c r="H65" s="632" t="s">
        <v>703</v>
      </c>
      <c r="I65" s="610"/>
      <c r="J65" s="620" t="s">
        <v>22</v>
      </c>
      <c r="K65" s="621">
        <f>+IF(J65="USD",F65*Parametros!$B$21,F65)</f>
        <v>0</v>
      </c>
      <c r="L65" s="613">
        <f t="shared" si="6"/>
        <v>0</v>
      </c>
      <c r="M65" s="622"/>
      <c r="N65" s="650"/>
      <c r="O65" s="650"/>
      <c r="P65" s="624" t="s">
        <v>363</v>
      </c>
      <c r="R65" s="648"/>
    </row>
    <row r="66" spans="1:18" x14ac:dyDescent="0.2">
      <c r="A66" s="832"/>
      <c r="B66" s="602" t="s">
        <v>698</v>
      </c>
      <c r="C66" s="602"/>
      <c r="D66" s="618">
        <v>0</v>
      </c>
      <c r="E66" s="679">
        <v>0</v>
      </c>
      <c r="F66" s="649">
        <v>0</v>
      </c>
      <c r="G66" s="649"/>
      <c r="H66" s="632" t="s">
        <v>703</v>
      </c>
      <c r="I66" s="610"/>
      <c r="J66" s="620" t="s">
        <v>22</v>
      </c>
      <c r="K66" s="621">
        <f>+IF(J66="USD",F66*Parametros!$B$21,F66)</f>
        <v>0</v>
      </c>
      <c r="L66" s="613">
        <f t="shared" si="6"/>
        <v>0</v>
      </c>
      <c r="M66" s="622"/>
      <c r="N66" s="650"/>
      <c r="O66" s="650"/>
      <c r="P66" s="624" t="s">
        <v>363</v>
      </c>
      <c r="R66" s="648"/>
    </row>
    <row r="67" spans="1:18" ht="13.5" thickBot="1" x14ac:dyDescent="0.25">
      <c r="A67" s="843"/>
      <c r="B67" s="602" t="s">
        <v>784</v>
      </c>
      <c r="C67" s="602"/>
      <c r="D67" s="618">
        <v>1</v>
      </c>
      <c r="E67" s="679">
        <v>0</v>
      </c>
      <c r="F67" s="649">
        <f>[2]Summary!$I$17</f>
        <v>9429.2800000000007</v>
      </c>
      <c r="G67" s="649"/>
      <c r="H67" s="632" t="s">
        <v>703</v>
      </c>
      <c r="I67" s="610"/>
      <c r="J67" s="620" t="s">
        <v>22</v>
      </c>
      <c r="K67" s="621">
        <f>+IF(J67="USD",F67*Parametros!$B$21,F67)</f>
        <v>30173696.000000004</v>
      </c>
      <c r="L67" s="613">
        <f t="shared" si="6"/>
        <v>30173696.000000004</v>
      </c>
      <c r="M67" s="622"/>
      <c r="N67" s="650"/>
      <c r="O67" s="650"/>
      <c r="P67" s="624" t="s">
        <v>363</v>
      </c>
      <c r="R67" s="648"/>
    </row>
    <row r="68" spans="1:18" s="616" customFormat="1" x14ac:dyDescent="0.2">
      <c r="A68" s="670" t="s">
        <v>756</v>
      </c>
      <c r="B68" s="603"/>
      <c r="C68" s="603"/>
      <c r="D68" s="634">
        <v>0</v>
      </c>
      <c r="E68" s="677">
        <v>0</v>
      </c>
      <c r="F68" s="636"/>
      <c r="G68" s="636"/>
      <c r="H68" s="636" t="s">
        <v>703</v>
      </c>
      <c r="I68" s="669"/>
      <c r="J68" s="637" t="s">
        <v>22</v>
      </c>
      <c r="K68" s="638">
        <f>+IF(J68="USD",F68*Parametros!$B$21,F68)</f>
        <v>0</v>
      </c>
      <c r="L68" s="613">
        <f t="shared" ref="L68:L89" si="7">IF(H68="Única",D68*K68*(1+E68),D68*K68*(1+E68)*I68)</f>
        <v>0</v>
      </c>
      <c r="M68" s="635"/>
      <c r="N68" s="635"/>
      <c r="O68" s="635"/>
      <c r="P68" s="640" t="s">
        <v>363</v>
      </c>
    </row>
    <row r="69" spans="1:18" ht="12.75" customHeight="1" x14ac:dyDescent="0.2">
      <c r="A69" s="831" t="s">
        <v>693</v>
      </c>
      <c r="B69" s="602" t="s">
        <v>694</v>
      </c>
      <c r="C69" s="602"/>
      <c r="D69" s="618">
        <v>0</v>
      </c>
      <c r="E69" s="676">
        <v>0</v>
      </c>
      <c r="F69" s="632">
        <v>0</v>
      </c>
      <c r="G69" s="632"/>
      <c r="H69" s="632" t="s">
        <v>703</v>
      </c>
      <c r="I69" s="610"/>
      <c r="J69" s="620" t="s">
        <v>22</v>
      </c>
      <c r="K69" s="621">
        <f>+IF(J69="USD",F69*Parametros!$B$21,F69)</f>
        <v>0</v>
      </c>
      <c r="L69" s="613">
        <f t="shared" si="7"/>
        <v>0</v>
      </c>
      <c r="M69" s="622"/>
      <c r="N69" s="622"/>
      <c r="O69" s="622"/>
      <c r="P69" s="624" t="s">
        <v>363</v>
      </c>
      <c r="Q69" s="606" t="s">
        <v>0</v>
      </c>
    </row>
    <row r="70" spans="1:18" x14ac:dyDescent="0.2">
      <c r="A70" s="832"/>
      <c r="B70" s="602" t="s">
        <v>695</v>
      </c>
      <c r="C70" s="602"/>
      <c r="D70" s="618">
        <v>0</v>
      </c>
      <c r="E70" s="676">
        <v>0</v>
      </c>
      <c r="F70" s="632">
        <v>0</v>
      </c>
      <c r="G70" s="632"/>
      <c r="H70" s="632" t="s">
        <v>703</v>
      </c>
      <c r="I70" s="610"/>
      <c r="J70" s="620" t="s">
        <v>22</v>
      </c>
      <c r="K70" s="621">
        <f>+IF(J70="USD",F70*Parametros!$B$21,F70)</f>
        <v>0</v>
      </c>
      <c r="L70" s="613">
        <f t="shared" si="7"/>
        <v>0</v>
      </c>
      <c r="M70" s="622"/>
      <c r="N70" s="622"/>
      <c r="O70" s="622"/>
      <c r="P70" s="624" t="s">
        <v>363</v>
      </c>
      <c r="R70" s="648" t="s">
        <v>153</v>
      </c>
    </row>
    <row r="71" spans="1:18" x14ac:dyDescent="0.2">
      <c r="A71" s="832"/>
      <c r="B71" s="602" t="s">
        <v>693</v>
      </c>
      <c r="C71" s="602"/>
      <c r="D71" s="618">
        <v>1</v>
      </c>
      <c r="E71" s="679">
        <v>0</v>
      </c>
      <c r="F71" s="649">
        <v>1400</v>
      </c>
      <c r="G71" s="649"/>
      <c r="H71" s="632" t="s">
        <v>703</v>
      </c>
      <c r="I71" s="610"/>
      <c r="J71" s="620" t="s">
        <v>22</v>
      </c>
      <c r="K71" s="621">
        <f>+IF(J71="USD",F71*Parametros!$B$21,F71)</f>
        <v>4480000</v>
      </c>
      <c r="L71" s="613">
        <f t="shared" si="7"/>
        <v>4480000</v>
      </c>
      <c r="M71" s="622"/>
      <c r="N71" s="650"/>
      <c r="O71" s="650"/>
      <c r="P71" s="624" t="s">
        <v>363</v>
      </c>
      <c r="R71" s="648" t="s">
        <v>22</v>
      </c>
    </row>
    <row r="72" spans="1:18" x14ac:dyDescent="0.2">
      <c r="A72" s="843"/>
      <c r="B72" s="602" t="s">
        <v>696</v>
      </c>
      <c r="C72" s="602"/>
      <c r="D72" s="618">
        <v>0</v>
      </c>
      <c r="E72" s="679">
        <v>0</v>
      </c>
      <c r="F72" s="649">
        <v>0</v>
      </c>
      <c r="G72" s="649"/>
      <c r="H72" s="632" t="s">
        <v>703</v>
      </c>
      <c r="I72" s="610"/>
      <c r="J72" s="620" t="s">
        <v>22</v>
      </c>
      <c r="K72" s="621">
        <f>+IF(J72="USD",F72*Parametros!$B$21,F72)</f>
        <v>0</v>
      </c>
      <c r="L72" s="613">
        <f t="shared" si="7"/>
        <v>0</v>
      </c>
      <c r="M72" s="622"/>
      <c r="N72" s="650"/>
      <c r="O72" s="650"/>
      <c r="P72" s="624" t="s">
        <v>363</v>
      </c>
      <c r="R72" s="648" t="s">
        <v>702</v>
      </c>
    </row>
    <row r="73" spans="1:18" ht="12.75" customHeight="1" x14ac:dyDescent="0.2">
      <c r="A73" s="831" t="s">
        <v>697</v>
      </c>
      <c r="B73" s="602" t="s">
        <v>694</v>
      </c>
      <c r="C73" s="602"/>
      <c r="D73" s="618">
        <v>0</v>
      </c>
      <c r="E73" s="679">
        <v>0</v>
      </c>
      <c r="F73" s="649">
        <v>0</v>
      </c>
      <c r="G73" s="649"/>
      <c r="H73" s="632" t="s">
        <v>703</v>
      </c>
      <c r="I73" s="610"/>
      <c r="J73" s="620" t="s">
        <v>22</v>
      </c>
      <c r="K73" s="621">
        <f>+IF(J73="USD",F73*Parametros!$B$21,F73)</f>
        <v>0</v>
      </c>
      <c r="L73" s="613">
        <f t="shared" si="7"/>
        <v>0</v>
      </c>
      <c r="M73" s="622"/>
      <c r="N73" s="650"/>
      <c r="O73" s="650"/>
      <c r="P73" s="624" t="s">
        <v>363</v>
      </c>
      <c r="R73" s="648" t="s">
        <v>703</v>
      </c>
    </row>
    <row r="74" spans="1:18" x14ac:dyDescent="0.2">
      <c r="A74" s="832"/>
      <c r="B74" s="602" t="s">
        <v>695</v>
      </c>
      <c r="C74" s="602"/>
      <c r="D74" s="618">
        <v>0</v>
      </c>
      <c r="E74" s="679">
        <v>0</v>
      </c>
      <c r="F74" s="649">
        <v>0</v>
      </c>
      <c r="G74" s="649"/>
      <c r="H74" s="632" t="s">
        <v>703</v>
      </c>
      <c r="I74" s="610"/>
      <c r="J74" s="620" t="s">
        <v>22</v>
      </c>
      <c r="K74" s="621">
        <f>+IF(J74="USD",F74*Parametros!$B$21,F74)</f>
        <v>0</v>
      </c>
      <c r="L74" s="613">
        <f t="shared" si="7"/>
        <v>0</v>
      </c>
      <c r="M74" s="622"/>
      <c r="N74" s="650"/>
      <c r="O74" s="650"/>
      <c r="P74" s="624" t="s">
        <v>363</v>
      </c>
      <c r="R74" s="648"/>
    </row>
    <row r="75" spans="1:18" x14ac:dyDescent="0.2">
      <c r="A75" s="832"/>
      <c r="B75" s="602" t="s">
        <v>698</v>
      </c>
      <c r="C75" s="602"/>
      <c r="D75" s="618">
        <v>0</v>
      </c>
      <c r="E75" s="679">
        <v>0</v>
      </c>
      <c r="F75" s="649">
        <v>0</v>
      </c>
      <c r="G75" s="649"/>
      <c r="H75" s="632" t="s">
        <v>703</v>
      </c>
      <c r="I75" s="610"/>
      <c r="J75" s="620" t="s">
        <v>22</v>
      </c>
      <c r="K75" s="621">
        <f>+IF(J75="USD",F75*Parametros!$B$21,F75)</f>
        <v>0</v>
      </c>
      <c r="L75" s="613">
        <f t="shared" si="7"/>
        <v>0</v>
      </c>
      <c r="M75" s="622"/>
      <c r="N75" s="650"/>
      <c r="O75" s="650"/>
      <c r="P75" s="624" t="s">
        <v>363</v>
      </c>
      <c r="R75" s="648"/>
    </row>
    <row r="76" spans="1:18" ht="13.5" thickBot="1" x14ac:dyDescent="0.25">
      <c r="A76" s="833"/>
      <c r="B76" s="604" t="s">
        <v>696</v>
      </c>
      <c r="C76" s="604"/>
      <c r="D76" s="642">
        <v>1</v>
      </c>
      <c r="E76" s="760">
        <v>0</v>
      </c>
      <c r="F76" s="761">
        <v>1400</v>
      </c>
      <c r="G76" s="761"/>
      <c r="H76" s="644" t="s">
        <v>703</v>
      </c>
      <c r="I76" s="762"/>
      <c r="J76" s="645" t="s">
        <v>22</v>
      </c>
      <c r="K76" s="646">
        <f>+IF(J76="USD",F76*Parametros!$B$21,F76)</f>
        <v>4480000</v>
      </c>
      <c r="L76" s="613">
        <f t="shared" si="7"/>
        <v>4480000</v>
      </c>
      <c r="M76" s="622"/>
      <c r="N76" s="650"/>
      <c r="O76" s="650"/>
      <c r="P76" s="624" t="s">
        <v>363</v>
      </c>
      <c r="R76" s="648"/>
    </row>
    <row r="77" spans="1:18" x14ac:dyDescent="0.2">
      <c r="A77" s="759" t="s">
        <v>757</v>
      </c>
      <c r="B77" s="755"/>
      <c r="C77" s="755"/>
      <c r="D77" s="756">
        <v>0</v>
      </c>
      <c r="E77" s="757">
        <v>0</v>
      </c>
      <c r="F77" s="696">
        <v>0</v>
      </c>
      <c r="G77" s="758"/>
      <c r="H77" s="696" t="s">
        <v>703</v>
      </c>
      <c r="I77" s="610"/>
      <c r="J77" s="611" t="s">
        <v>22</v>
      </c>
      <c r="K77" s="612">
        <f>+IF(J77="USD",F77*Parametros!$B$21,F77)</f>
        <v>0</v>
      </c>
      <c r="L77" s="613">
        <f t="shared" si="7"/>
        <v>0</v>
      </c>
      <c r="M77" s="622"/>
      <c r="N77" s="650"/>
      <c r="O77" s="650"/>
      <c r="P77" s="624" t="s">
        <v>363</v>
      </c>
      <c r="R77" s="648"/>
    </row>
    <row r="78" spans="1:18" ht="12.75" customHeight="1" x14ac:dyDescent="0.2">
      <c r="A78" s="831" t="s">
        <v>693</v>
      </c>
      <c r="B78" s="602" t="s">
        <v>694</v>
      </c>
      <c r="C78" s="602"/>
      <c r="D78" s="618">
        <v>0</v>
      </c>
      <c r="E78" s="679">
        <v>0</v>
      </c>
      <c r="F78" s="649">
        <v>0</v>
      </c>
      <c r="G78" s="649"/>
      <c r="H78" s="632" t="s">
        <v>703</v>
      </c>
      <c r="I78" s="610"/>
      <c r="J78" s="620" t="s">
        <v>22</v>
      </c>
      <c r="K78" s="621">
        <f>+IF(J78="USD",F78*Parametros!$B$21,F78)</f>
        <v>0</v>
      </c>
      <c r="L78" s="613">
        <f t="shared" si="7"/>
        <v>0</v>
      </c>
      <c r="M78" s="622"/>
      <c r="N78" s="650"/>
      <c r="O78" s="650"/>
      <c r="P78" s="624" t="s">
        <v>363</v>
      </c>
      <c r="R78" s="648"/>
    </row>
    <row r="79" spans="1:18" x14ac:dyDescent="0.2">
      <c r="A79" s="832"/>
      <c r="B79" s="602" t="s">
        <v>695</v>
      </c>
      <c r="C79" s="602"/>
      <c r="D79" s="618">
        <v>0</v>
      </c>
      <c r="E79" s="679">
        <v>0</v>
      </c>
      <c r="F79" s="649">
        <v>0</v>
      </c>
      <c r="G79" s="649"/>
      <c r="H79" s="632" t="s">
        <v>703</v>
      </c>
      <c r="I79" s="610"/>
      <c r="J79" s="620" t="s">
        <v>22</v>
      </c>
      <c r="K79" s="621">
        <f>+IF(J79="USD",F79*Parametros!$B$21,F79)</f>
        <v>0</v>
      </c>
      <c r="L79" s="613">
        <f t="shared" si="7"/>
        <v>0</v>
      </c>
      <c r="M79" s="622"/>
      <c r="N79" s="650"/>
      <c r="O79" s="650"/>
      <c r="P79" s="624" t="s">
        <v>363</v>
      </c>
      <c r="R79" s="648"/>
    </row>
    <row r="80" spans="1:18" x14ac:dyDescent="0.2">
      <c r="A80" s="832"/>
      <c r="B80" s="602" t="s">
        <v>693</v>
      </c>
      <c r="C80" s="602"/>
      <c r="D80" s="618">
        <v>0</v>
      </c>
      <c r="E80" s="679">
        <v>0</v>
      </c>
      <c r="F80" s="649">
        <v>0</v>
      </c>
      <c r="G80" s="649"/>
      <c r="H80" s="632" t="s">
        <v>703</v>
      </c>
      <c r="I80" s="610"/>
      <c r="J80" s="620" t="s">
        <v>22</v>
      </c>
      <c r="K80" s="621">
        <f>+IF(J80="USD",F80*Parametros!$B$21,F80)</f>
        <v>0</v>
      </c>
      <c r="L80" s="613">
        <f t="shared" si="7"/>
        <v>0</v>
      </c>
      <c r="M80" s="622"/>
      <c r="N80" s="650"/>
      <c r="O80" s="650"/>
      <c r="P80" s="624" t="s">
        <v>363</v>
      </c>
      <c r="R80" s="648"/>
    </row>
    <row r="81" spans="1:16" x14ac:dyDescent="0.2">
      <c r="A81" s="843"/>
      <c r="B81" s="602" t="s">
        <v>696</v>
      </c>
      <c r="C81" s="602"/>
      <c r="D81" s="618">
        <v>1</v>
      </c>
      <c r="E81" s="679">
        <v>0</v>
      </c>
      <c r="F81" s="649">
        <v>1400</v>
      </c>
      <c r="G81" s="649"/>
      <c r="H81" s="632" t="s">
        <v>703</v>
      </c>
      <c r="I81" s="610"/>
      <c r="J81" s="620" t="s">
        <v>22</v>
      </c>
      <c r="K81" s="621">
        <f>+IF(J81="USD",F81*Parametros!$B$21,F81)</f>
        <v>4480000</v>
      </c>
      <c r="L81" s="613">
        <f t="shared" si="7"/>
        <v>4480000</v>
      </c>
      <c r="M81" s="622"/>
      <c r="N81" s="650"/>
      <c r="O81" s="650"/>
      <c r="P81" s="624" t="s">
        <v>363</v>
      </c>
    </row>
    <row r="82" spans="1:16" ht="12.75" customHeight="1" x14ac:dyDescent="0.2">
      <c r="A82" s="831" t="s">
        <v>697</v>
      </c>
      <c r="B82" s="602" t="s">
        <v>694</v>
      </c>
      <c r="C82" s="602"/>
      <c r="D82" s="618">
        <v>0</v>
      </c>
      <c r="E82" s="679">
        <v>0</v>
      </c>
      <c r="F82" s="649">
        <v>0</v>
      </c>
      <c r="G82" s="649"/>
      <c r="H82" s="632" t="s">
        <v>703</v>
      </c>
      <c r="I82" s="610"/>
      <c r="J82" s="620" t="s">
        <v>22</v>
      </c>
      <c r="K82" s="621">
        <f>+IF(J82="USD",F82*Parametros!$B$21,F82)</f>
        <v>0</v>
      </c>
      <c r="L82" s="613">
        <f t="shared" si="7"/>
        <v>0</v>
      </c>
      <c r="M82" s="622"/>
      <c r="N82" s="650"/>
      <c r="O82" s="650"/>
      <c r="P82" s="624" t="s">
        <v>363</v>
      </c>
    </row>
    <row r="83" spans="1:16" x14ac:dyDescent="0.2">
      <c r="A83" s="832"/>
      <c r="B83" s="602" t="s">
        <v>695</v>
      </c>
      <c r="C83" s="602"/>
      <c r="D83" s="618">
        <v>0</v>
      </c>
      <c r="E83" s="679">
        <v>0</v>
      </c>
      <c r="F83" s="649">
        <v>0</v>
      </c>
      <c r="G83" s="649"/>
      <c r="H83" s="632" t="s">
        <v>703</v>
      </c>
      <c r="I83" s="610"/>
      <c r="J83" s="620" t="s">
        <v>153</v>
      </c>
      <c r="K83" s="621"/>
      <c r="L83" s="613">
        <f t="shared" si="7"/>
        <v>0</v>
      </c>
      <c r="M83" s="622"/>
      <c r="N83" s="650"/>
      <c r="O83" s="650"/>
      <c r="P83" s="624" t="s">
        <v>363</v>
      </c>
    </row>
    <row r="84" spans="1:16" x14ac:dyDescent="0.2">
      <c r="A84" s="832"/>
      <c r="B84" s="602" t="s">
        <v>698</v>
      </c>
      <c r="C84" s="602"/>
      <c r="D84" s="618">
        <v>0</v>
      </c>
      <c r="E84" s="679">
        <v>0</v>
      </c>
      <c r="F84" s="649">
        <v>0</v>
      </c>
      <c r="G84" s="649"/>
      <c r="H84" s="632" t="s">
        <v>703</v>
      </c>
      <c r="I84" s="610"/>
      <c r="J84" s="620" t="s">
        <v>22</v>
      </c>
      <c r="K84" s="621">
        <f>+IF(J84="USD",F84*Parametros!$B$21,F84)</f>
        <v>0</v>
      </c>
      <c r="L84" s="613">
        <f t="shared" si="7"/>
        <v>0</v>
      </c>
      <c r="M84" s="622"/>
      <c r="N84" s="650"/>
      <c r="O84" s="650"/>
      <c r="P84" s="624" t="s">
        <v>363</v>
      </c>
    </row>
    <row r="85" spans="1:16" ht="13.5" thickBot="1" x14ac:dyDescent="0.25">
      <c r="A85" s="833"/>
      <c r="B85" s="604" t="s">
        <v>696</v>
      </c>
      <c r="C85" s="604"/>
      <c r="D85" s="642">
        <v>1</v>
      </c>
      <c r="E85" s="760">
        <v>0</v>
      </c>
      <c r="F85" s="761">
        <v>1400</v>
      </c>
      <c r="G85" s="761"/>
      <c r="H85" s="644" t="s">
        <v>703</v>
      </c>
      <c r="I85" s="762"/>
      <c r="J85" s="645" t="s">
        <v>22</v>
      </c>
      <c r="K85" s="646">
        <f>+IF(J85="USD",F85*Parametros!$B$21,F85)</f>
        <v>4480000</v>
      </c>
      <c r="L85" s="613">
        <f t="shared" si="7"/>
        <v>4480000</v>
      </c>
      <c r="M85" s="651"/>
      <c r="N85" s="650"/>
      <c r="O85" s="650"/>
      <c r="P85" s="624" t="s">
        <v>363</v>
      </c>
    </row>
    <row r="86" spans="1:16" x14ac:dyDescent="0.2">
      <c r="A86" s="759" t="s">
        <v>699</v>
      </c>
      <c r="B86" s="755"/>
      <c r="C86" s="755"/>
      <c r="D86" s="756">
        <v>0</v>
      </c>
      <c r="E86" s="757">
        <v>0</v>
      </c>
      <c r="F86" s="758">
        <v>0</v>
      </c>
      <c r="G86" s="758"/>
      <c r="H86" s="696" t="s">
        <v>703</v>
      </c>
      <c r="I86" s="610"/>
      <c r="J86" s="611" t="s">
        <v>22</v>
      </c>
      <c r="K86" s="612">
        <f>+IF(J86="USD",F86*Parametros!$B$21,F86)</f>
        <v>0</v>
      </c>
      <c r="L86" s="613">
        <f t="shared" si="7"/>
        <v>0</v>
      </c>
      <c r="M86" s="651"/>
      <c r="N86" s="650"/>
      <c r="O86" s="650"/>
      <c r="P86" s="624" t="s">
        <v>363</v>
      </c>
    </row>
    <row r="87" spans="1:16" ht="12.75" customHeight="1" x14ac:dyDescent="0.2">
      <c r="A87" s="831" t="s">
        <v>693</v>
      </c>
      <c r="B87" s="602" t="s">
        <v>694</v>
      </c>
      <c r="C87" s="602"/>
      <c r="D87" s="618">
        <v>0</v>
      </c>
      <c r="E87" s="679">
        <v>0</v>
      </c>
      <c r="F87" s="649">
        <v>0</v>
      </c>
      <c r="G87" s="649"/>
      <c r="H87" s="632" t="s">
        <v>703</v>
      </c>
      <c r="I87" s="610"/>
      <c r="J87" s="620" t="s">
        <v>22</v>
      </c>
      <c r="K87" s="621">
        <f>+IF(J87="USD",F87*Parametros!$B$21,F87)</f>
        <v>0</v>
      </c>
      <c r="L87" s="613">
        <f t="shared" si="7"/>
        <v>0</v>
      </c>
      <c r="M87" s="651"/>
      <c r="N87" s="650"/>
      <c r="O87" s="650"/>
      <c r="P87" s="624" t="s">
        <v>363</v>
      </c>
    </row>
    <row r="88" spans="1:16" x14ac:dyDescent="0.2">
      <c r="A88" s="832"/>
      <c r="B88" s="602" t="s">
        <v>695</v>
      </c>
      <c r="C88" s="602"/>
      <c r="D88" s="618">
        <v>0</v>
      </c>
      <c r="E88" s="679">
        <v>0</v>
      </c>
      <c r="F88" s="649">
        <v>0</v>
      </c>
      <c r="G88" s="649"/>
      <c r="H88" s="632" t="s">
        <v>703</v>
      </c>
      <c r="I88" s="610"/>
      <c r="J88" s="620" t="s">
        <v>22</v>
      </c>
      <c r="K88" s="621">
        <f>+IF(J88="USD",F88*Parametros!$B$21,F88)</f>
        <v>0</v>
      </c>
      <c r="L88" s="613">
        <f t="shared" si="7"/>
        <v>0</v>
      </c>
      <c r="M88" s="651"/>
      <c r="N88" s="650"/>
      <c r="O88" s="650"/>
      <c r="P88" s="624" t="s">
        <v>363</v>
      </c>
    </row>
    <row r="89" spans="1:16" x14ac:dyDescent="0.2">
      <c r="A89" s="832"/>
      <c r="B89" s="602" t="s">
        <v>691</v>
      </c>
      <c r="C89" s="602"/>
      <c r="D89" s="618">
        <v>0</v>
      </c>
      <c r="E89" s="679">
        <v>0</v>
      </c>
      <c r="F89" s="649">
        <v>0</v>
      </c>
      <c r="G89" s="649"/>
      <c r="H89" s="632" t="s">
        <v>703</v>
      </c>
      <c r="I89" s="610"/>
      <c r="J89" s="620" t="s">
        <v>22</v>
      </c>
      <c r="K89" s="621">
        <f>+IF(J89="USD",F89*Parametros!$B$21,F89)</f>
        <v>0</v>
      </c>
      <c r="L89" s="613">
        <f t="shared" si="7"/>
        <v>0</v>
      </c>
      <c r="M89" s="651"/>
      <c r="N89" s="650"/>
      <c r="O89" s="650"/>
      <c r="P89" s="624" t="s">
        <v>363</v>
      </c>
    </row>
    <row r="90" spans="1:16" x14ac:dyDescent="0.2">
      <c r="A90" s="832"/>
      <c r="B90" s="602" t="s">
        <v>696</v>
      </c>
      <c r="C90" s="602"/>
      <c r="D90" s="618">
        <v>1</v>
      </c>
      <c r="E90" s="680">
        <v>0</v>
      </c>
      <c r="F90" s="652">
        <v>1400</v>
      </c>
      <c r="G90" s="652"/>
      <c r="H90" s="632" t="s">
        <v>703</v>
      </c>
      <c r="I90" s="610"/>
      <c r="J90" s="620" t="s">
        <v>22</v>
      </c>
      <c r="K90" s="621">
        <f>+IF(J90="USD",F90*Parametros!$B$21,F90)</f>
        <v>4480000</v>
      </c>
      <c r="L90" s="613">
        <f t="shared" si="0"/>
        <v>4480000</v>
      </c>
      <c r="M90" s="651"/>
      <c r="N90" s="650"/>
      <c r="O90" s="650"/>
      <c r="P90" s="624" t="s">
        <v>363</v>
      </c>
    </row>
    <row r="91" spans="1:16" ht="13.5" thickBot="1" x14ac:dyDescent="0.25">
      <c r="A91" s="833"/>
      <c r="B91" s="604" t="s">
        <v>692</v>
      </c>
      <c r="C91" s="604"/>
      <c r="D91" s="642">
        <v>0</v>
      </c>
      <c r="E91" s="681">
        <v>0</v>
      </c>
      <c r="F91" s="653">
        <v>0</v>
      </c>
      <c r="G91" s="653"/>
      <c r="H91" s="644" t="s">
        <v>703</v>
      </c>
      <c r="I91" s="672"/>
      <c r="J91" s="645" t="s">
        <v>153</v>
      </c>
      <c r="K91" s="646">
        <f>+IF(J91="USD",F91*Parametros!$B$21,F91)</f>
        <v>0</v>
      </c>
      <c r="L91" s="682">
        <f t="shared" si="0"/>
        <v>0</v>
      </c>
      <c r="M91" s="654"/>
      <c r="N91" s="655"/>
      <c r="O91" s="655"/>
      <c r="P91" s="647" t="s">
        <v>363</v>
      </c>
    </row>
    <row r="92" spans="1:16" x14ac:dyDescent="0.2">
      <c r="A92" s="671" t="s">
        <v>758</v>
      </c>
      <c r="B92" s="602"/>
      <c r="C92" s="602"/>
      <c r="D92" s="618">
        <v>0</v>
      </c>
      <c r="E92" s="679">
        <v>0</v>
      </c>
      <c r="F92" s="649">
        <v>0</v>
      </c>
      <c r="G92" s="649"/>
      <c r="H92" s="632" t="s">
        <v>703</v>
      </c>
      <c r="I92" s="610"/>
      <c r="J92" s="620" t="s">
        <v>22</v>
      </c>
      <c r="K92" s="621">
        <f>+IF(J92="USD",F92*Parametros!$B$21,F92)</f>
        <v>0</v>
      </c>
      <c r="L92" s="613">
        <f t="shared" ref="L92:L97" si="8">IF(H92="Única",D92*K92*(1+E92),D92*K92*(1+E92)*I92)</f>
        <v>0</v>
      </c>
      <c r="M92" s="651"/>
      <c r="N92" s="650"/>
      <c r="O92" s="650"/>
      <c r="P92" s="624" t="s">
        <v>363</v>
      </c>
    </row>
    <row r="93" spans="1:16" ht="12.75" customHeight="1" x14ac:dyDescent="0.2">
      <c r="A93" s="831" t="s">
        <v>759</v>
      </c>
      <c r="B93" s="602" t="s">
        <v>760</v>
      </c>
      <c r="C93" s="602"/>
      <c r="D93" s="618">
        <v>1</v>
      </c>
      <c r="E93" s="679">
        <v>0</v>
      </c>
      <c r="F93" s="649">
        <f>[2]Summary!$I$14</f>
        <v>1635.02</v>
      </c>
      <c r="G93" s="649"/>
      <c r="H93" s="632" t="s">
        <v>703</v>
      </c>
      <c r="I93" s="610"/>
      <c r="J93" s="620" t="s">
        <v>22</v>
      </c>
      <c r="K93" s="621">
        <f>+IF(J93="USD",F93*Parametros!$B$21,F93)</f>
        <v>5232064</v>
      </c>
      <c r="L93" s="613">
        <f t="shared" si="8"/>
        <v>5232064</v>
      </c>
      <c r="M93" s="651"/>
      <c r="N93" s="650"/>
      <c r="O93" s="650"/>
      <c r="P93" s="624" t="s">
        <v>363</v>
      </c>
    </row>
    <row r="94" spans="1:16" x14ac:dyDescent="0.2">
      <c r="A94" s="832"/>
      <c r="B94" s="602" t="s">
        <v>761</v>
      </c>
      <c r="C94" s="602"/>
      <c r="D94" s="618">
        <v>1</v>
      </c>
      <c r="E94" s="679">
        <v>0</v>
      </c>
      <c r="F94" s="649">
        <f>[2]Summary!$I$12</f>
        <v>450.84</v>
      </c>
      <c r="G94" s="649"/>
      <c r="H94" s="632" t="s">
        <v>703</v>
      </c>
      <c r="I94" s="610"/>
      <c r="J94" s="620" t="s">
        <v>22</v>
      </c>
      <c r="K94" s="621">
        <f>+IF(J94="USD",F94*Parametros!$B$21,F94)</f>
        <v>1442688</v>
      </c>
      <c r="L94" s="613">
        <f t="shared" si="8"/>
        <v>1442688</v>
      </c>
      <c r="M94" s="651"/>
      <c r="N94" s="650"/>
      <c r="O94" s="650"/>
      <c r="P94" s="624" t="s">
        <v>363</v>
      </c>
    </row>
    <row r="95" spans="1:16" x14ac:dyDescent="0.2">
      <c r="A95" s="832"/>
      <c r="B95" s="602" t="s">
        <v>762</v>
      </c>
      <c r="C95" s="602"/>
      <c r="D95" s="618">
        <v>1</v>
      </c>
      <c r="E95" s="679">
        <v>0</v>
      </c>
      <c r="F95" s="649">
        <f>[2]Summary!$I$10</f>
        <v>1375.8600000000004</v>
      </c>
      <c r="G95" s="649"/>
      <c r="H95" s="632" t="s">
        <v>703</v>
      </c>
      <c r="I95" s="610"/>
      <c r="J95" s="620" t="s">
        <v>22</v>
      </c>
      <c r="K95" s="621">
        <f>+IF(J95="USD",F95*Parametros!$B$21,F95)</f>
        <v>4402752.0000000009</v>
      </c>
      <c r="L95" s="613">
        <f t="shared" si="8"/>
        <v>4402752.0000000009</v>
      </c>
      <c r="M95" s="651"/>
      <c r="N95" s="650"/>
      <c r="O95" s="650"/>
      <c r="P95" s="624" t="s">
        <v>363</v>
      </c>
    </row>
    <row r="96" spans="1:16" x14ac:dyDescent="0.2">
      <c r="A96" s="832"/>
      <c r="B96" s="602" t="s">
        <v>763</v>
      </c>
      <c r="C96" s="602"/>
      <c r="D96" s="618">
        <v>1</v>
      </c>
      <c r="E96" s="680">
        <v>0</v>
      </c>
      <c r="F96" s="652">
        <f>[2]Summary!$I$22</f>
        <v>3798.3900000000003</v>
      </c>
      <c r="G96" s="652"/>
      <c r="H96" s="632" t="s">
        <v>703</v>
      </c>
      <c r="I96" s="610"/>
      <c r="J96" s="620" t="s">
        <v>22</v>
      </c>
      <c r="K96" s="621">
        <f>+IF(J96="USD",F96*Parametros!$B$21,F96)</f>
        <v>12154848.000000002</v>
      </c>
      <c r="L96" s="613">
        <f t="shared" si="8"/>
        <v>12154848.000000002</v>
      </c>
      <c r="M96" s="651"/>
      <c r="N96" s="650"/>
      <c r="O96" s="650"/>
      <c r="P96" s="624" t="s">
        <v>363</v>
      </c>
    </row>
    <row r="97" spans="1:17" ht="13.5" thickBot="1" x14ac:dyDescent="0.25">
      <c r="A97" s="833"/>
      <c r="B97" s="604" t="s">
        <v>764</v>
      </c>
      <c r="C97" s="604"/>
      <c r="D97" s="642">
        <v>1</v>
      </c>
      <c r="E97" s="681">
        <v>0</v>
      </c>
      <c r="F97" s="653"/>
      <c r="G97" s="653"/>
      <c r="H97" s="644" t="s">
        <v>703</v>
      </c>
      <c r="I97" s="672"/>
      <c r="J97" s="645" t="s">
        <v>22</v>
      </c>
      <c r="K97" s="646">
        <f>+IF(J97="USD",F97*Parametros!$B$21,F97)</f>
        <v>0</v>
      </c>
      <c r="L97" s="682">
        <f t="shared" si="8"/>
        <v>0</v>
      </c>
      <c r="M97" s="654"/>
      <c r="N97" s="655"/>
      <c r="O97" s="655"/>
      <c r="P97" s="647" t="s">
        <v>363</v>
      </c>
    </row>
    <row r="98" spans="1:17" ht="13.5" customHeight="1" thickBot="1" x14ac:dyDescent="0.25">
      <c r="A98" s="844" t="s">
        <v>125</v>
      </c>
      <c r="B98" s="845"/>
      <c r="C98" s="845"/>
      <c r="D98" s="845"/>
      <c r="E98" s="845"/>
      <c r="F98" s="845"/>
      <c r="G98" s="845"/>
      <c r="H98" s="845"/>
      <c r="I98" s="845"/>
      <c r="J98" s="845"/>
      <c r="K98" s="846"/>
      <c r="L98" s="656">
        <f>SUM(L4:L97)</f>
        <v>103535392</v>
      </c>
      <c r="M98" s="847"/>
      <c r="N98" s="848"/>
      <c r="O98" s="848"/>
      <c r="P98" s="849"/>
    </row>
    <row r="99" spans="1:17" x14ac:dyDescent="0.2">
      <c r="B99" s="657"/>
      <c r="C99" s="657"/>
      <c r="D99" s="658"/>
      <c r="E99" s="657"/>
      <c r="F99" s="659"/>
      <c r="G99" s="659"/>
      <c r="H99" s="659"/>
      <c r="I99" s="684"/>
      <c r="J99" s="657"/>
      <c r="K99" s="660"/>
      <c r="L99" s="660"/>
      <c r="M99" s="661"/>
      <c r="N99" s="662"/>
      <c r="O99" s="662"/>
      <c r="P99" s="662"/>
      <c r="Q99" s="661"/>
    </row>
    <row r="100" spans="1:17" ht="15.75" customHeight="1" x14ac:dyDescent="0.2">
      <c r="C100" s="664"/>
    </row>
    <row r="102" spans="1:17" x14ac:dyDescent="0.2">
      <c r="B102" s="767" t="s">
        <v>127</v>
      </c>
      <c r="C102" s="768" t="s">
        <v>774</v>
      </c>
      <c r="D102" s="769" t="s">
        <v>775</v>
      </c>
      <c r="E102" s="770" t="s">
        <v>776</v>
      </c>
    </row>
    <row r="103" spans="1:17" x14ac:dyDescent="0.2">
      <c r="B103" s="766" t="s">
        <v>785</v>
      </c>
      <c r="C103" s="628" t="s">
        <v>664</v>
      </c>
      <c r="D103" s="741">
        <f>D10</f>
        <v>1</v>
      </c>
      <c r="E103" s="742">
        <f>L10</f>
        <v>800000</v>
      </c>
    </row>
    <row r="104" spans="1:17" x14ac:dyDescent="0.2">
      <c r="B104" s="743" t="s">
        <v>780</v>
      </c>
      <c r="C104" s="763"/>
      <c r="D104" s="764"/>
      <c r="E104" s="765"/>
      <c r="H104" s="685"/>
      <c r="I104" s="606"/>
      <c r="J104" s="667"/>
      <c r="L104" s="606"/>
    </row>
    <row r="105" spans="1:17" x14ac:dyDescent="0.2">
      <c r="B105" s="602" t="s">
        <v>693</v>
      </c>
      <c r="C105" s="602" t="s">
        <v>786</v>
      </c>
      <c r="D105" s="764">
        <v>1</v>
      </c>
      <c r="E105" s="765">
        <f>L58</f>
        <v>10632480.000000002</v>
      </c>
      <c r="H105" s="685"/>
      <c r="I105" s="606"/>
      <c r="J105" s="667"/>
      <c r="L105" s="606"/>
    </row>
    <row r="106" spans="1:17" x14ac:dyDescent="0.2">
      <c r="B106" s="602" t="s">
        <v>698</v>
      </c>
      <c r="C106" s="602" t="s">
        <v>786</v>
      </c>
      <c r="D106" s="764">
        <v>1</v>
      </c>
      <c r="E106" s="765">
        <f>L63</f>
        <v>16296864.000000002</v>
      </c>
      <c r="H106" s="685"/>
      <c r="I106" s="606"/>
      <c r="J106" s="667"/>
      <c r="L106" s="606"/>
    </row>
    <row r="107" spans="1:17" x14ac:dyDescent="0.2">
      <c r="B107" s="602" t="s">
        <v>784</v>
      </c>
      <c r="C107" s="763" t="s">
        <v>787</v>
      </c>
      <c r="D107" s="764">
        <v>1</v>
      </c>
      <c r="E107" s="765">
        <f>L67</f>
        <v>30173696.000000004</v>
      </c>
      <c r="H107" s="685"/>
      <c r="I107" s="606"/>
      <c r="J107" s="667"/>
      <c r="L107" s="606"/>
    </row>
    <row r="108" spans="1:17" x14ac:dyDescent="0.2">
      <c r="B108" s="743" t="s">
        <v>781</v>
      </c>
      <c r="C108" s="602"/>
      <c r="D108" s="618">
        <f t="shared" ref="D108:D109" si="9">D68</f>
        <v>0</v>
      </c>
      <c r="E108" s="744">
        <f t="shared" ref="E108:E109" si="10">L68</f>
        <v>0</v>
      </c>
      <c r="H108" s="685"/>
      <c r="I108" s="606"/>
      <c r="J108" s="667"/>
      <c r="L108" s="606"/>
    </row>
    <row r="109" spans="1:17" x14ac:dyDescent="0.2">
      <c r="B109" s="745" t="s">
        <v>693</v>
      </c>
      <c r="C109" s="602" t="str">
        <f t="shared" ref="C109" si="11">B69</f>
        <v>Sistema Operativo Linux</v>
      </c>
      <c r="D109" s="618">
        <f t="shared" si="9"/>
        <v>0</v>
      </c>
      <c r="E109" s="744">
        <f t="shared" si="10"/>
        <v>0</v>
      </c>
      <c r="H109" s="685"/>
      <c r="I109" s="606"/>
      <c r="J109" s="667"/>
      <c r="L109" s="606"/>
    </row>
    <row r="110" spans="1:17" x14ac:dyDescent="0.2">
      <c r="B110" s="745"/>
      <c r="C110" s="602" t="str">
        <f>B71</f>
        <v>Servidor de Aplicaciones</v>
      </c>
      <c r="D110" s="618">
        <f>D71</f>
        <v>1</v>
      </c>
      <c r="E110" s="744">
        <f>L71</f>
        <v>4480000</v>
      </c>
      <c r="H110" s="685"/>
      <c r="I110" s="606"/>
      <c r="J110" s="667"/>
      <c r="L110" s="606"/>
    </row>
    <row r="111" spans="1:17" x14ac:dyDescent="0.2">
      <c r="B111" s="745" t="s">
        <v>697</v>
      </c>
      <c r="C111" s="602" t="str">
        <f>B73</f>
        <v>Sistema Operativo Linux</v>
      </c>
      <c r="D111" s="618">
        <f>D73</f>
        <v>0</v>
      </c>
      <c r="E111" s="744">
        <f>L73</f>
        <v>0</v>
      </c>
      <c r="H111" s="685"/>
      <c r="I111" s="606"/>
      <c r="J111" s="667"/>
      <c r="L111" s="606"/>
    </row>
    <row r="112" spans="1:17" x14ac:dyDescent="0.2">
      <c r="B112" s="745"/>
      <c r="C112" s="602" t="str">
        <f>B76</f>
        <v>Máquina física</v>
      </c>
      <c r="D112" s="618">
        <f>D76</f>
        <v>1</v>
      </c>
      <c r="E112" s="744">
        <f>L76</f>
        <v>4480000</v>
      </c>
      <c r="H112" s="685"/>
      <c r="I112" s="606"/>
      <c r="J112" s="667"/>
      <c r="L112" s="606"/>
    </row>
    <row r="113" spans="2:12" x14ac:dyDescent="0.2">
      <c r="B113" s="743" t="s">
        <v>757</v>
      </c>
      <c r="C113" s="602"/>
      <c r="D113" s="618">
        <f>D77</f>
        <v>0</v>
      </c>
      <c r="E113" s="744">
        <f>L77</f>
        <v>0</v>
      </c>
      <c r="H113" s="685"/>
      <c r="I113" s="606"/>
      <c r="J113" s="667"/>
      <c r="L113" s="606"/>
    </row>
    <row r="114" spans="2:12" x14ac:dyDescent="0.2">
      <c r="B114" s="745" t="s">
        <v>693</v>
      </c>
      <c r="C114" s="602" t="str">
        <f t="shared" ref="C114" si="12">B78</f>
        <v>Sistema Operativo Linux</v>
      </c>
      <c r="D114" s="618">
        <f>D78</f>
        <v>0</v>
      </c>
      <c r="E114" s="744">
        <f>L78</f>
        <v>0</v>
      </c>
      <c r="H114" s="685"/>
      <c r="I114" s="606"/>
      <c r="J114" s="667"/>
      <c r="L114" s="606"/>
    </row>
    <row r="115" spans="2:12" x14ac:dyDescent="0.2">
      <c r="B115" s="745"/>
      <c r="C115" s="602" t="str">
        <f>B81</f>
        <v>Máquina física</v>
      </c>
      <c r="D115" s="618">
        <f>D81</f>
        <v>1</v>
      </c>
      <c r="E115" s="744">
        <f>L81</f>
        <v>4480000</v>
      </c>
      <c r="H115" s="685"/>
      <c r="I115" s="606"/>
      <c r="J115" s="667"/>
      <c r="L115" s="606"/>
    </row>
    <row r="116" spans="2:12" x14ac:dyDescent="0.2">
      <c r="B116" s="745" t="s">
        <v>697</v>
      </c>
      <c r="C116" s="602" t="str">
        <f>B82</f>
        <v>Sistema Operativo Linux</v>
      </c>
      <c r="D116" s="618">
        <f>D82</f>
        <v>0</v>
      </c>
      <c r="E116" s="744">
        <f>L82</f>
        <v>0</v>
      </c>
      <c r="H116" s="685"/>
      <c r="I116" s="606"/>
      <c r="J116" s="667"/>
      <c r="L116" s="606"/>
    </row>
    <row r="117" spans="2:12" x14ac:dyDescent="0.2">
      <c r="B117" s="745"/>
      <c r="C117" s="602" t="str">
        <f>B85</f>
        <v>Máquina física</v>
      </c>
      <c r="D117" s="618">
        <f>D85</f>
        <v>1</v>
      </c>
      <c r="E117" s="744">
        <f>L85</f>
        <v>4480000</v>
      </c>
      <c r="H117" s="685"/>
      <c r="I117" s="606"/>
      <c r="J117" s="667"/>
      <c r="L117" s="606"/>
    </row>
    <row r="118" spans="2:12" x14ac:dyDescent="0.2">
      <c r="B118" s="743" t="s">
        <v>782</v>
      </c>
      <c r="C118" s="602"/>
      <c r="D118" s="618">
        <f>D86</f>
        <v>0</v>
      </c>
      <c r="E118" s="744">
        <f>L86</f>
        <v>0</v>
      </c>
      <c r="H118" s="685"/>
      <c r="I118" s="606"/>
      <c r="J118" s="667"/>
      <c r="L118" s="606"/>
    </row>
    <row r="119" spans="2:12" x14ac:dyDescent="0.2">
      <c r="B119" s="745" t="s">
        <v>693</v>
      </c>
      <c r="C119" s="602" t="str">
        <f>B87</f>
        <v>Sistema Operativo Linux</v>
      </c>
      <c r="D119" s="618">
        <f>D87</f>
        <v>0</v>
      </c>
      <c r="E119" s="744">
        <f>L87</f>
        <v>0</v>
      </c>
      <c r="H119" s="685"/>
      <c r="I119" s="606"/>
      <c r="J119" s="667"/>
      <c r="L119" s="606"/>
    </row>
    <row r="120" spans="2:12" x14ac:dyDescent="0.2">
      <c r="B120" s="745"/>
      <c r="C120" s="602" t="str">
        <f>B90</f>
        <v>Máquina física</v>
      </c>
      <c r="D120" s="618">
        <f>D90</f>
        <v>1</v>
      </c>
      <c r="E120" s="744">
        <f>L90</f>
        <v>4480000</v>
      </c>
    </row>
    <row r="121" spans="2:12" x14ac:dyDescent="0.2">
      <c r="B121" s="743" t="s">
        <v>783</v>
      </c>
      <c r="C121" s="602"/>
      <c r="D121" s="618">
        <f t="shared" ref="D121:D126" si="13">D92</f>
        <v>0</v>
      </c>
      <c r="E121" s="744">
        <f t="shared" ref="E121:E126" si="14">L92</f>
        <v>0</v>
      </c>
    </row>
    <row r="122" spans="2:12" x14ac:dyDescent="0.2">
      <c r="B122" s="745" t="s">
        <v>759</v>
      </c>
      <c r="C122" s="602" t="str">
        <f>B93</f>
        <v>Concentradores</v>
      </c>
      <c r="D122" s="618">
        <f t="shared" si="13"/>
        <v>1</v>
      </c>
      <c r="E122" s="744">
        <f t="shared" si="14"/>
        <v>5232064</v>
      </c>
    </row>
    <row r="123" spans="2:12" x14ac:dyDescent="0.2">
      <c r="B123" s="745"/>
      <c r="C123" s="602" t="str">
        <f>B94</f>
        <v>Ruteadores</v>
      </c>
      <c r="D123" s="618">
        <f t="shared" si="13"/>
        <v>1</v>
      </c>
      <c r="E123" s="744">
        <f t="shared" si="14"/>
        <v>1442688</v>
      </c>
    </row>
    <row r="124" spans="2:12" x14ac:dyDescent="0.2">
      <c r="B124" s="745"/>
      <c r="C124" s="602" t="str">
        <f>B95</f>
        <v>Murallas</v>
      </c>
      <c r="D124" s="618">
        <f t="shared" si="13"/>
        <v>1</v>
      </c>
      <c r="E124" s="744">
        <f t="shared" si="14"/>
        <v>4402752.0000000009</v>
      </c>
    </row>
    <row r="125" spans="2:12" x14ac:dyDescent="0.2">
      <c r="B125" s="745"/>
      <c r="C125" s="602" t="str">
        <f>B96</f>
        <v>Balanceadores</v>
      </c>
      <c r="D125" s="618">
        <f t="shared" si="13"/>
        <v>1</v>
      </c>
      <c r="E125" s="744">
        <f t="shared" si="14"/>
        <v>12154848.000000002</v>
      </c>
    </row>
    <row r="126" spans="2:12" x14ac:dyDescent="0.2">
      <c r="B126" s="745"/>
      <c r="C126" s="602" t="str">
        <f>B97</f>
        <v>Cableado</v>
      </c>
      <c r="D126" s="618">
        <f t="shared" si="13"/>
        <v>1</v>
      </c>
      <c r="E126" s="744">
        <f t="shared" si="14"/>
        <v>0</v>
      </c>
    </row>
    <row r="127" spans="2:12" x14ac:dyDescent="0.2">
      <c r="B127" s="771"/>
      <c r="C127" s="772"/>
      <c r="D127" s="773"/>
      <c r="E127" s="774"/>
    </row>
    <row r="128" spans="2:12" x14ac:dyDescent="0.2">
      <c r="B128" s="775" t="s">
        <v>777</v>
      </c>
      <c r="C128" s="776"/>
      <c r="D128" s="777"/>
      <c r="E128" s="778">
        <f>SUM(E103:E126)</f>
        <v>103535392</v>
      </c>
    </row>
  </sheetData>
  <mergeCells count="25">
    <mergeCell ref="A98:K98"/>
    <mergeCell ref="M98:P98"/>
    <mergeCell ref="A24:A26"/>
    <mergeCell ref="A28:A31"/>
    <mergeCell ref="A47:P47"/>
    <mergeCell ref="A48:A53"/>
    <mergeCell ref="A54:P54"/>
    <mergeCell ref="A33:P33"/>
    <mergeCell ref="A34:A46"/>
    <mergeCell ref="A69:A72"/>
    <mergeCell ref="A73:A76"/>
    <mergeCell ref="A78:A81"/>
    <mergeCell ref="A82:A85"/>
    <mergeCell ref="A87:A91"/>
    <mergeCell ref="B48:B53"/>
    <mergeCell ref="B34:B46"/>
    <mergeCell ref="A93:A97"/>
    <mergeCell ref="A4:A6"/>
    <mergeCell ref="A1:P1"/>
    <mergeCell ref="A7:A10"/>
    <mergeCell ref="A11:A23"/>
    <mergeCell ref="A3:P3"/>
    <mergeCell ref="A56:A59"/>
    <mergeCell ref="A60:A63"/>
    <mergeCell ref="A64:A67"/>
  </mergeCells>
  <dataValidations disablePrompts="1" count="3">
    <dataValidation type="list" allowBlank="1" showErrorMessage="1" sqref="JE4:JE16 TA4:TA16 ACW4:ACW16 AMS4:AMS16 AWO4:AWO16 BGK4:BGK16 BQG4:BQG16 CAC4:CAC16 CJY4:CJY16 CTU4:CTU16 DDQ4:DDQ16 DNM4:DNM16 DXI4:DXI16 EHE4:EHE16 ERA4:ERA16 FAW4:FAW16 FKS4:FKS16 FUO4:FUO16 GEK4:GEK16 GOG4:GOG16 GYC4:GYC16 HHY4:HHY16 HRU4:HRU16 IBQ4:IBQ16 ILM4:ILM16 IVI4:IVI16 JFE4:JFE16 JPA4:JPA16 JYW4:JYW16 KIS4:KIS16 KSO4:KSO16 LCK4:LCK16 LMG4:LMG16 LWC4:LWC16 MFY4:MFY16 MPU4:MPU16 MZQ4:MZQ16 NJM4:NJM16 NTI4:NTI16 ODE4:ODE16 ONA4:ONA16 OWW4:OWW16 PGS4:PGS16 PQO4:PQO16 QAK4:QAK16 QKG4:QKG16 QUC4:QUC16 RDY4:RDY16 RNU4:RNU16 RXQ4:RXQ16 SHM4:SHM16 SRI4:SRI16 TBE4:TBE16 TLA4:TLA16 TUW4:TUW16 UES4:UES16 UOO4:UOO16 UYK4:UYK16 VIG4:VIG16 VSC4:VSC16 WBY4:WBY16 WLU4:WLU16 WVQ18:WVQ46 WVQ4:WVQ16 WLU18:WLU46 JE18:JE46 TA18:TA46 ACW18:ACW46 AMS18:AMS46 AWO18:AWO46 BGK18:BGK46 BQG18:BQG46 CAC18:CAC46 CJY18:CJY46 CTU18:CTU46 DDQ18:DDQ46 DNM18:DNM46 DXI18:DXI46 EHE18:EHE46 ERA18:ERA46 FAW18:FAW46 FKS18:FKS46 FUO18:FUO46 GEK18:GEK46 GOG18:GOG46 GYC18:GYC46 HHY18:HHY46 HRU18:HRU46 IBQ18:IBQ46 ILM18:ILM46 IVI18:IVI46 JFE18:JFE46 JPA18:JPA46 JYW18:JYW46 KIS18:KIS46 KSO18:KSO46 LCK18:LCK46 LMG18:LMG46 LWC18:LWC46 MFY18:MFY46 MPU18:MPU46 MZQ18:MZQ46 NJM18:NJM46 NTI18:NTI46 ODE18:ODE46 ONA18:ONA46 OWW18:OWW46 PGS18:PGS46 PQO18:PQO46 QAK18:QAK46 QKG18:QKG46 QUC18:QUC46 RDY18:RDY46 RNU18:RNU46 RXQ18:RXQ46 SHM18:SHM46 SRI18:SRI46 TBE18:TBE46 TLA18:TLA46 TUW18:TUW46 UES18:UES46 UOO18:UOO46 UYK18:UYK46 VIG18:VIG46 VSC18:VSC46 WBY18:WBY46 P34:P46 P48:P53 P4:P32 P55:P97">
      <formula1>"Si,No"</formula1>
      <formula2>0</formula2>
    </dataValidation>
    <dataValidation type="list" allowBlank="1" showInputMessage="1" showErrorMessage="1" sqref="J4:J32 J34:J46 J48:J53 J55:J97">
      <formula1>$R$70:$R$71</formula1>
    </dataValidation>
    <dataValidation type="list" allowBlank="1" showInputMessage="1" showErrorMessage="1" sqref="H4:H32 H34:H46 H48:H53 H55:H97">
      <formula1>$R$72:$R$73</formula1>
    </dataValidation>
  </dataValidations>
  <pageMargins left="0.74791666666666667" right="0.74791666666666667" top="0.98402777777777772" bottom="0.98402777777777772" header="0.51180555555555551" footer="0.51180555555555551"/>
  <pageSetup firstPageNumber="0" orientation="landscape" horizontalDpi="300" verticalDpi="300" r:id="rId1"/>
  <headerFooter alignWithMargins="0"/>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workbookViewId="0">
      <selection activeCell="D5" sqref="D5:D6"/>
    </sheetView>
  </sheetViews>
  <sheetFormatPr baseColWidth="10" defaultRowHeight="12.75" x14ac:dyDescent="0.2"/>
  <cols>
    <col min="1" max="1" width="23" customWidth="1"/>
    <col min="2" max="3" width="16" customWidth="1"/>
    <col min="4" max="4" width="15.85546875" customWidth="1"/>
    <col min="5" max="5" width="18.28515625" customWidth="1"/>
  </cols>
  <sheetData>
    <row r="1" spans="1:6" ht="15" x14ac:dyDescent="0.2">
      <c r="A1" s="856" t="s">
        <v>629</v>
      </c>
      <c r="B1" s="563" t="s">
        <v>630</v>
      </c>
      <c r="C1" s="563"/>
      <c r="D1" s="856" t="s">
        <v>631</v>
      </c>
      <c r="E1" s="856" t="s">
        <v>632</v>
      </c>
    </row>
    <row r="2" spans="1:6" ht="15.75" thickBot="1" x14ac:dyDescent="0.25">
      <c r="A2" s="857"/>
      <c r="B2" s="564" t="s">
        <v>633</v>
      </c>
      <c r="C2" s="564" t="s">
        <v>634</v>
      </c>
      <c r="D2" s="857"/>
      <c r="E2" s="857"/>
    </row>
    <row r="3" spans="1:6" ht="15" x14ac:dyDescent="0.2">
      <c r="A3" s="565" t="s">
        <v>635</v>
      </c>
      <c r="B3" s="566"/>
      <c r="C3" s="566"/>
      <c r="D3" s="567" t="s">
        <v>636</v>
      </c>
      <c r="E3" s="568">
        <v>25056000</v>
      </c>
      <c r="F3" s="589" t="e">
        <f>B3/B9</f>
        <v>#DIV/0!</v>
      </c>
    </row>
    <row r="4" spans="1:6" ht="15" x14ac:dyDescent="0.2">
      <c r="A4" s="569" t="s">
        <v>637</v>
      </c>
      <c r="B4" s="570"/>
      <c r="C4" s="570"/>
      <c r="D4" s="571">
        <v>417600</v>
      </c>
      <c r="E4" s="571">
        <v>125280000</v>
      </c>
      <c r="F4" s="589" t="e">
        <f>B4/B9</f>
        <v>#DIV/0!</v>
      </c>
    </row>
    <row r="5" spans="1:6" ht="15" x14ac:dyDescent="0.2">
      <c r="A5" s="858" t="s">
        <v>638</v>
      </c>
      <c r="B5" s="859"/>
      <c r="C5" s="566"/>
      <c r="D5" s="860" t="s">
        <v>639</v>
      </c>
      <c r="E5" s="861">
        <v>50112000</v>
      </c>
      <c r="F5" s="589" t="e">
        <f>B5/B9</f>
        <v>#DIV/0!</v>
      </c>
    </row>
    <row r="6" spans="1:6" ht="15" x14ac:dyDescent="0.2">
      <c r="A6" s="858"/>
      <c r="B6" s="859"/>
      <c r="C6" s="566"/>
      <c r="D6" s="860"/>
      <c r="E6" s="861"/>
      <c r="F6" s="589"/>
    </row>
    <row r="7" spans="1:6" ht="15" x14ac:dyDescent="0.2">
      <c r="A7" s="569" t="s">
        <v>640</v>
      </c>
      <c r="B7" s="570"/>
      <c r="C7" s="570"/>
      <c r="D7" s="572" t="s">
        <v>639</v>
      </c>
      <c r="E7" s="571">
        <v>375840000</v>
      </c>
      <c r="F7" s="589" t="e">
        <f>B7/B9</f>
        <v>#DIV/0!</v>
      </c>
    </row>
    <row r="8" spans="1:6" ht="15.75" thickBot="1" x14ac:dyDescent="0.25">
      <c r="A8" s="573" t="s">
        <v>641</v>
      </c>
      <c r="B8" s="574"/>
      <c r="C8" s="574"/>
      <c r="D8" s="575" t="s">
        <v>639</v>
      </c>
      <c r="E8" s="576">
        <v>25056000</v>
      </c>
      <c r="F8" s="589" t="e">
        <f>B8/B9</f>
        <v>#DIV/0!</v>
      </c>
    </row>
    <row r="9" spans="1:6" ht="15" x14ac:dyDescent="0.2">
      <c r="A9" s="577" t="s">
        <v>642</v>
      </c>
      <c r="B9">
        <f>SUM(B3:B8)</f>
        <v>0</v>
      </c>
    </row>
    <row r="11" spans="1:6" ht="15" x14ac:dyDescent="0.25">
      <c r="A11" s="578" t="s">
        <v>643</v>
      </c>
    </row>
    <row r="13" spans="1:6" ht="15" x14ac:dyDescent="0.25">
      <c r="A13" s="578" t="s">
        <v>644</v>
      </c>
      <c r="B13" s="570"/>
      <c r="C13" s="570"/>
      <c r="D13" s="578" t="s">
        <v>633</v>
      </c>
      <c r="F13" t="s">
        <v>0</v>
      </c>
    </row>
    <row r="14" spans="1:6" ht="13.5" thickBot="1" x14ac:dyDescent="0.25"/>
    <row r="15" spans="1:6" ht="15" x14ac:dyDescent="0.2">
      <c r="A15" s="856" t="s">
        <v>629</v>
      </c>
      <c r="B15" s="563" t="s">
        <v>630</v>
      </c>
      <c r="C15" s="563"/>
      <c r="D15" s="856" t="s">
        <v>631</v>
      </c>
      <c r="E15" s="856" t="s">
        <v>632</v>
      </c>
    </row>
    <row r="16" spans="1:6" ht="15.75" thickBot="1" x14ac:dyDescent="0.25">
      <c r="A16" s="857"/>
      <c r="B16" s="564" t="s">
        <v>633</v>
      </c>
      <c r="C16" s="564" t="s">
        <v>634</v>
      </c>
      <c r="D16" s="857"/>
      <c r="E16" s="857"/>
      <c r="F16" t="s">
        <v>652</v>
      </c>
    </row>
    <row r="17" spans="1:11" ht="15" x14ac:dyDescent="0.2">
      <c r="A17" s="565" t="s">
        <v>645</v>
      </c>
      <c r="B17" s="566" t="s">
        <v>0</v>
      </c>
      <c r="C17" s="566"/>
      <c r="D17" s="567"/>
      <c r="E17" s="568"/>
      <c r="F17" s="590">
        <v>0.5</v>
      </c>
    </row>
    <row r="18" spans="1:11" ht="15" x14ac:dyDescent="0.2">
      <c r="A18" s="569" t="s">
        <v>646</v>
      </c>
      <c r="B18" s="570" t="s">
        <v>0</v>
      </c>
      <c r="C18" s="570"/>
      <c r="D18" s="571"/>
      <c r="E18" s="571"/>
      <c r="F18" s="590">
        <v>0.2</v>
      </c>
    </row>
    <row r="19" spans="1:11" ht="15" x14ac:dyDescent="0.2">
      <c r="A19" s="565" t="s">
        <v>647</v>
      </c>
      <c r="B19" s="566" t="s">
        <v>0</v>
      </c>
      <c r="C19" s="566"/>
      <c r="D19" s="567"/>
      <c r="E19" s="568"/>
      <c r="F19" s="590">
        <v>0.4</v>
      </c>
      <c r="H19">
        <f>38640</f>
        <v>38640</v>
      </c>
      <c r="I19" s="590">
        <v>2.5000000000000001E-2</v>
      </c>
      <c r="J19">
        <f>H19*I19</f>
        <v>966</v>
      </c>
      <c r="K19">
        <f>J19/12</f>
        <v>80.5</v>
      </c>
    </row>
    <row r="20" spans="1:11" ht="15" x14ac:dyDescent="0.2">
      <c r="A20" s="569" t="s">
        <v>640</v>
      </c>
      <c r="B20" s="570" t="s">
        <v>0</v>
      </c>
      <c r="C20" s="570"/>
      <c r="D20" s="571"/>
      <c r="E20" s="571"/>
      <c r="F20" s="590">
        <v>1</v>
      </c>
      <c r="H20" t="s">
        <v>0</v>
      </c>
      <c r="I20" s="594" t="s">
        <v>0</v>
      </c>
      <c r="J20" t="s">
        <v>0</v>
      </c>
    </row>
    <row r="21" spans="1:11" ht="30" x14ac:dyDescent="0.2">
      <c r="A21" s="565" t="s">
        <v>648</v>
      </c>
      <c r="B21" s="566" t="s">
        <v>0</v>
      </c>
      <c r="C21" s="566"/>
      <c r="D21" s="567"/>
      <c r="E21" s="568"/>
      <c r="F21" s="590">
        <v>1</v>
      </c>
    </row>
    <row r="22" spans="1:11" ht="45" x14ac:dyDescent="0.2">
      <c r="A22" s="569" t="s">
        <v>649</v>
      </c>
      <c r="B22" s="570" t="s">
        <v>0</v>
      </c>
      <c r="C22" s="570"/>
      <c r="D22" s="571"/>
      <c r="E22" s="571"/>
      <c r="F22" s="590">
        <v>0.75</v>
      </c>
    </row>
    <row r="23" spans="1:11" ht="15" x14ac:dyDescent="0.2">
      <c r="B23" s="570" t="s">
        <v>0</v>
      </c>
      <c r="C23" s="570"/>
    </row>
    <row r="25" spans="1:11" ht="15" x14ac:dyDescent="0.25">
      <c r="A25" s="579" t="s">
        <v>650</v>
      </c>
      <c r="B25" s="580"/>
      <c r="C25" s="580"/>
      <c r="D25" s="580"/>
      <c r="E25" s="580"/>
      <c r="F25" s="580"/>
      <c r="G25" s="580"/>
      <c r="H25" s="580"/>
    </row>
    <row r="26" spans="1:11" ht="15" x14ac:dyDescent="0.25">
      <c r="A26" s="579" t="s">
        <v>651</v>
      </c>
      <c r="B26" s="580"/>
    </row>
  </sheetData>
  <mergeCells count="10">
    <mergeCell ref="A15:A16"/>
    <mergeCell ref="D15:D16"/>
    <mergeCell ref="E15:E16"/>
    <mergeCell ref="A1:A2"/>
    <mergeCell ref="D1:D2"/>
    <mergeCell ref="E1:E2"/>
    <mergeCell ref="A5:A6"/>
    <mergeCell ref="B5:B6"/>
    <mergeCell ref="D5:D6"/>
    <mergeCell ref="E5:E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I66"/>
  <sheetViews>
    <sheetView zoomScale="85" zoomScaleNormal="85" workbookViewId="0">
      <selection activeCell="A6" sqref="A6"/>
    </sheetView>
  </sheetViews>
  <sheetFormatPr baseColWidth="10" defaultRowHeight="12.75" x14ac:dyDescent="0.2"/>
  <cols>
    <col min="1" max="1" width="35.42578125" style="1" customWidth="1"/>
    <col min="2" max="2" width="12.140625" style="1" customWidth="1"/>
    <col min="3" max="3" width="16.7109375" style="1" customWidth="1"/>
    <col min="4" max="4" width="11.7109375" style="1" customWidth="1"/>
    <col min="5" max="5" width="12.7109375" style="1" bestFit="1" customWidth="1"/>
    <col min="6" max="16384" width="11.42578125" style="1"/>
  </cols>
  <sheetData>
    <row r="2" spans="1:9" x14ac:dyDescent="0.2">
      <c r="A2" s="821" t="s">
        <v>158</v>
      </c>
      <c r="B2" s="821"/>
      <c r="C2" s="821"/>
      <c r="D2" s="821"/>
      <c r="E2" s="821"/>
      <c r="F2" s="821"/>
      <c r="G2" s="2"/>
      <c r="H2" s="2"/>
      <c r="I2" s="2"/>
    </row>
    <row r="3" spans="1:9" x14ac:dyDescent="0.2">
      <c r="A3" s="2"/>
      <c r="B3" s="2"/>
      <c r="C3" s="2"/>
      <c r="D3" s="2"/>
      <c r="E3" s="2"/>
      <c r="F3" s="2"/>
      <c r="G3" s="2"/>
      <c r="H3" s="2"/>
      <c r="I3" s="2"/>
    </row>
    <row r="4" spans="1:9" ht="13.5" customHeight="1" x14ac:dyDescent="0.2">
      <c r="A4" s="862" t="s">
        <v>159</v>
      </c>
      <c r="B4" s="862"/>
      <c r="C4" s="862"/>
      <c r="D4" s="2"/>
      <c r="E4" s="2"/>
      <c r="F4" s="2"/>
      <c r="G4" s="2"/>
      <c r="H4" s="2"/>
      <c r="I4" s="2"/>
    </row>
    <row r="5" spans="1:9" x14ac:dyDescent="0.2">
      <c r="A5" s="72" t="s">
        <v>160</v>
      </c>
      <c r="B5" s="8"/>
      <c r="C5" s="434" t="s">
        <v>153</v>
      </c>
      <c r="D5" s="2"/>
      <c r="E5" s="2"/>
      <c r="F5" s="2"/>
      <c r="G5" s="2"/>
      <c r="H5" s="2"/>
      <c r="I5" s="2"/>
    </row>
    <row r="6" spans="1:9" x14ac:dyDescent="0.2">
      <c r="A6" s="72" t="s">
        <v>161</v>
      </c>
      <c r="B6" s="8"/>
      <c r="C6" s="73">
        <v>1E-8</v>
      </c>
      <c r="D6" s="2"/>
      <c r="E6" s="2"/>
      <c r="F6" s="2"/>
      <c r="G6" s="2"/>
      <c r="H6" s="2"/>
      <c r="I6" s="2"/>
    </row>
    <row r="7" spans="1:9" x14ac:dyDescent="0.2">
      <c r="A7" s="72" t="s">
        <v>162</v>
      </c>
      <c r="B7" s="8"/>
      <c r="C7" s="74">
        <v>1</v>
      </c>
      <c r="D7" s="2"/>
      <c r="E7" s="2"/>
      <c r="F7" s="2"/>
      <c r="G7" s="2"/>
      <c r="H7" s="2"/>
      <c r="I7" s="2"/>
    </row>
    <row r="8" spans="1:9" x14ac:dyDescent="0.2">
      <c r="A8" s="72" t="s">
        <v>163</v>
      </c>
      <c r="B8" s="8"/>
      <c r="C8" s="75">
        <v>2</v>
      </c>
      <c r="D8" s="2"/>
      <c r="E8" s="2"/>
      <c r="F8" s="2"/>
      <c r="G8" s="2"/>
      <c r="H8" s="2"/>
      <c r="I8" s="2"/>
    </row>
    <row r="9" spans="1:9" x14ac:dyDescent="0.2">
      <c r="A9" s="76" t="s">
        <v>164</v>
      </c>
      <c r="B9" s="77"/>
      <c r="C9" s="78">
        <v>1</v>
      </c>
      <c r="D9" s="2"/>
      <c r="E9" s="2"/>
      <c r="F9" s="2"/>
      <c r="G9" s="2"/>
      <c r="H9" s="2"/>
      <c r="I9" s="2"/>
    </row>
    <row r="10" spans="1:9" x14ac:dyDescent="0.2">
      <c r="A10" s="2"/>
      <c r="B10" s="2"/>
      <c r="C10" s="2"/>
      <c r="D10" s="2"/>
      <c r="E10" s="2"/>
      <c r="F10" s="2"/>
      <c r="G10" s="2"/>
      <c r="H10" s="2"/>
      <c r="I10" s="2"/>
    </row>
    <row r="11" spans="1:9" ht="13.5" customHeight="1" x14ac:dyDescent="0.2">
      <c r="A11" s="863" t="s">
        <v>165</v>
      </c>
      <c r="B11" s="863"/>
      <c r="C11" s="863"/>
      <c r="D11" s="863"/>
      <c r="E11" s="79"/>
      <c r="F11" s="2"/>
      <c r="G11" s="2"/>
      <c r="H11" s="2"/>
      <c r="I11" s="2"/>
    </row>
    <row r="12" spans="1:9" x14ac:dyDescent="0.2">
      <c r="A12" s="80" t="s">
        <v>166</v>
      </c>
      <c r="B12" s="81"/>
      <c r="C12" s="82"/>
      <c r="D12" s="83" t="s">
        <v>167</v>
      </c>
      <c r="E12" s="84" t="s">
        <v>168</v>
      </c>
      <c r="F12" s="8"/>
      <c r="G12" s="2"/>
      <c r="H12" s="2"/>
      <c r="I12" s="2"/>
    </row>
    <row r="13" spans="1:9" x14ac:dyDescent="0.2">
      <c r="A13" s="85" t="s">
        <v>169</v>
      </c>
      <c r="B13" s="86"/>
      <c r="C13" s="87"/>
      <c r="D13" s="88">
        <v>0</v>
      </c>
      <c r="E13" s="90">
        <f>D13*C9*$C$6</f>
        <v>0</v>
      </c>
      <c r="F13" s="8"/>
      <c r="G13" s="2"/>
      <c r="H13" s="2"/>
      <c r="I13" s="2"/>
    </row>
    <row r="14" spans="1:9" x14ac:dyDescent="0.2">
      <c r="A14" s="85" t="s">
        <v>170</v>
      </c>
      <c r="B14" s="86"/>
      <c r="C14" s="87"/>
      <c r="D14" s="88">
        <v>0</v>
      </c>
      <c r="E14" s="90">
        <f>D14*C9*$C$6</f>
        <v>0</v>
      </c>
      <c r="F14" s="8"/>
      <c r="G14" s="2"/>
      <c r="H14" s="2"/>
      <c r="I14" s="2"/>
    </row>
    <row r="15" spans="1:9" x14ac:dyDescent="0.2">
      <c r="A15" s="85" t="s">
        <v>171</v>
      </c>
      <c r="B15" s="86"/>
      <c r="C15" s="87"/>
      <c r="D15" s="88">
        <v>0</v>
      </c>
      <c r="E15" s="90">
        <f>C9*D15*$C$6</f>
        <v>0</v>
      </c>
      <c r="F15" s="8"/>
      <c r="G15" s="2"/>
      <c r="H15" s="2"/>
      <c r="I15" s="2"/>
    </row>
    <row r="16" spans="1:9" x14ac:dyDescent="0.2">
      <c r="A16" s="85" t="s">
        <v>172</v>
      </c>
      <c r="B16" s="86"/>
      <c r="C16" s="87"/>
      <c r="D16" s="88">
        <v>0</v>
      </c>
      <c r="E16" s="90">
        <f>D16*$C$6</f>
        <v>0</v>
      </c>
      <c r="F16" s="8"/>
      <c r="G16" s="2"/>
      <c r="H16" s="2"/>
      <c r="I16" s="2"/>
    </row>
    <row r="17" spans="1:9" x14ac:dyDescent="0.2">
      <c r="A17" s="85" t="s">
        <v>173</v>
      </c>
      <c r="B17" s="86"/>
      <c r="C17" s="87"/>
      <c r="D17" s="88">
        <v>0</v>
      </c>
      <c r="E17" s="90">
        <f>D17*C9*$C$6</f>
        <v>0</v>
      </c>
      <c r="F17" s="8"/>
      <c r="G17" s="2"/>
      <c r="H17" s="2"/>
      <c r="I17" s="2"/>
    </row>
    <row r="18" spans="1:9" x14ac:dyDescent="0.2">
      <c r="A18" s="85" t="s">
        <v>174</v>
      </c>
      <c r="B18" s="86"/>
      <c r="C18" s="87"/>
      <c r="D18" s="88">
        <v>0</v>
      </c>
      <c r="E18" s="90">
        <f>D18*C10*$C$6</f>
        <v>0</v>
      </c>
      <c r="F18" s="8"/>
      <c r="G18" s="2"/>
      <c r="H18" s="2"/>
      <c r="I18" s="2"/>
    </row>
    <row r="19" spans="1:9" x14ac:dyDescent="0.2">
      <c r="A19" s="546" t="s">
        <v>590</v>
      </c>
      <c r="B19" s="86"/>
      <c r="C19" s="87"/>
      <c r="D19" s="88"/>
      <c r="E19" s="90">
        <f>D19*C9*2*$C$6</f>
        <v>0</v>
      </c>
      <c r="F19" s="8"/>
      <c r="G19" s="2"/>
      <c r="H19" s="2"/>
      <c r="I19" s="2"/>
    </row>
    <row r="20" spans="1:9" x14ac:dyDescent="0.2">
      <c r="A20" s="546" t="s">
        <v>589</v>
      </c>
      <c r="B20" s="86"/>
      <c r="C20" s="87"/>
      <c r="D20" s="88"/>
      <c r="E20" s="90">
        <f>C9*2*D20*$C$6</f>
        <v>0</v>
      </c>
      <c r="F20" s="8" t="s">
        <v>591</v>
      </c>
      <c r="G20" s="2"/>
      <c r="H20" s="2"/>
      <c r="I20" s="2"/>
    </row>
    <row r="21" spans="1:9" x14ac:dyDescent="0.2">
      <c r="A21" s="85" t="s">
        <v>175</v>
      </c>
      <c r="B21" s="2"/>
      <c r="C21" s="89">
        <v>0</v>
      </c>
      <c r="D21" s="90" t="str">
        <f>IF(C21=0,"Apto","Hotel")</f>
        <v>Apto</v>
      </c>
      <c r="E21" s="90">
        <f>IF(C21=0,E34*C7*$C$6,E39*$C$6)</f>
        <v>5.0000000000000001E-3</v>
      </c>
      <c r="F21" s="8"/>
      <c r="G21" s="2"/>
      <c r="H21" s="2"/>
      <c r="I21" s="2"/>
    </row>
    <row r="22" spans="1:9" x14ac:dyDescent="0.2">
      <c r="A22" s="85" t="s">
        <v>176</v>
      </c>
      <c r="B22" s="86"/>
      <c r="C22" s="87"/>
      <c r="D22" s="91"/>
      <c r="E22" s="90">
        <f>C8*D22*$C$6</f>
        <v>0</v>
      </c>
      <c r="F22" s="8"/>
      <c r="G22" s="2"/>
      <c r="H22" s="2"/>
      <c r="I22" s="2"/>
    </row>
    <row r="23" spans="1:9" x14ac:dyDescent="0.2">
      <c r="A23" s="85" t="s">
        <v>177</v>
      </c>
      <c r="B23" s="86"/>
      <c r="C23" s="87"/>
      <c r="D23" s="91"/>
      <c r="E23" s="90">
        <f>C8*D23*$C$6</f>
        <v>0</v>
      </c>
      <c r="F23" s="8"/>
      <c r="G23" s="2"/>
      <c r="H23" s="2"/>
      <c r="I23" s="2"/>
    </row>
    <row r="24" spans="1:9" x14ac:dyDescent="0.2">
      <c r="A24" s="85" t="s">
        <v>178</v>
      </c>
      <c r="B24" s="86"/>
      <c r="C24" s="87"/>
      <c r="D24" s="90">
        <v>0</v>
      </c>
      <c r="E24" s="90">
        <f>D24*C7*$C$6</f>
        <v>0</v>
      </c>
      <c r="F24" s="8"/>
      <c r="G24" s="2"/>
      <c r="H24" s="2"/>
      <c r="I24" s="2"/>
    </row>
    <row r="25" spans="1:9" x14ac:dyDescent="0.2">
      <c r="A25" s="85" t="s">
        <v>179</v>
      </c>
      <c r="B25" s="86" t="s">
        <v>592</v>
      </c>
      <c r="C25" s="87"/>
      <c r="D25" s="88"/>
      <c r="E25" s="90">
        <f>C8*D25*$C$6*C9</f>
        <v>0</v>
      </c>
      <c r="F25" s="8"/>
      <c r="G25" s="2"/>
      <c r="H25" s="2"/>
      <c r="I25" s="2"/>
    </row>
    <row r="26" spans="1:9" x14ac:dyDescent="0.2">
      <c r="A26" s="92" t="s">
        <v>168</v>
      </c>
      <c r="B26" s="93"/>
      <c r="C26" s="94"/>
      <c r="D26" s="13">
        <f>IF(C7&lt;&gt;0,E26/C6/C7,0)</f>
        <v>500000</v>
      </c>
      <c r="E26" s="13">
        <f>SUM(E13:E25)</f>
        <v>5.0000000000000001E-3</v>
      </c>
      <c r="F26" s="95"/>
      <c r="G26" s="2"/>
      <c r="H26" s="2"/>
      <c r="I26" s="2"/>
    </row>
    <row r="27" spans="1:9" x14ac:dyDescent="0.2">
      <c r="A27" s="92" t="s">
        <v>180</v>
      </c>
      <c r="B27" s="2"/>
      <c r="C27" s="96">
        <v>0.1</v>
      </c>
      <c r="D27" s="13">
        <f>IF(C7&lt;&gt;0,E27/C6/C7,0)</f>
        <v>50000</v>
      </c>
      <c r="E27" s="435">
        <f>E26*C27</f>
        <v>5.0000000000000001E-4</v>
      </c>
      <c r="F27" s="95"/>
      <c r="G27" s="2"/>
      <c r="H27" s="2"/>
      <c r="I27" s="2"/>
    </row>
    <row r="28" spans="1:9" x14ac:dyDescent="0.2">
      <c r="A28" s="97" t="s">
        <v>181</v>
      </c>
      <c r="B28" s="98"/>
      <c r="C28" s="98"/>
      <c r="D28" s="13">
        <f>D27+D26</f>
        <v>550000</v>
      </c>
      <c r="E28" s="13">
        <f>E26+E27</f>
        <v>5.4999999999999997E-3</v>
      </c>
      <c r="F28" s="95"/>
      <c r="G28" s="2"/>
      <c r="H28" s="2"/>
      <c r="I28" s="2"/>
    </row>
    <row r="29" spans="1:9" x14ac:dyDescent="0.2">
      <c r="A29" s="99" t="s">
        <v>182</v>
      </c>
      <c r="B29" s="100">
        <v>0</v>
      </c>
      <c r="C29" s="100"/>
      <c r="D29" s="89"/>
      <c r="E29" s="95"/>
      <c r="F29" s="95"/>
      <c r="G29" s="2"/>
      <c r="H29" s="2"/>
      <c r="I29" s="2"/>
    </row>
    <row r="30" spans="1:9" x14ac:dyDescent="0.2">
      <c r="A30" s="99" t="s">
        <v>183</v>
      </c>
      <c r="B30" s="101">
        <f>IF(C6&lt;&gt;0,E28/C7/Parametros!B15/C6,0)</f>
        <v>3437.4999999999995</v>
      </c>
      <c r="C30" s="2"/>
      <c r="D30" s="89"/>
      <c r="E30" s="89"/>
      <c r="F30" s="86" t="s">
        <v>184</v>
      </c>
      <c r="G30" s="3"/>
      <c r="H30" s="3"/>
      <c r="I30" s="3">
        <v>30</v>
      </c>
    </row>
    <row r="31" spans="1:9" x14ac:dyDescent="0.2">
      <c r="A31" s="99"/>
      <c r="B31" s="95"/>
      <c r="C31" s="2"/>
      <c r="D31" s="89"/>
      <c r="E31" s="89"/>
      <c r="F31" s="86" t="s">
        <v>185</v>
      </c>
      <c r="G31" s="3"/>
      <c r="H31" s="3"/>
      <c r="I31" s="102">
        <f>I30+B30</f>
        <v>3467.4999999999995</v>
      </c>
    </row>
    <row r="32" spans="1:9" x14ac:dyDescent="0.2">
      <c r="A32" s="103" t="s">
        <v>186</v>
      </c>
      <c r="B32" s="104"/>
      <c r="C32" s="104"/>
      <c r="D32" s="105"/>
      <c r="E32" s="106"/>
      <c r="F32" s="2"/>
      <c r="G32" s="2"/>
      <c r="H32" s="2"/>
      <c r="I32" s="2"/>
    </row>
    <row r="33" spans="1:9" x14ac:dyDescent="0.2">
      <c r="A33" s="107"/>
      <c r="B33" s="108"/>
      <c r="C33" s="109"/>
      <c r="D33" s="110" t="s">
        <v>574</v>
      </c>
      <c r="E33" s="111" t="s">
        <v>187</v>
      </c>
      <c r="F33" s="8"/>
      <c r="G33" s="2"/>
      <c r="H33" s="2"/>
      <c r="I33" s="2"/>
    </row>
    <row r="34" spans="1:9" x14ac:dyDescent="0.2">
      <c r="A34" s="112" t="s">
        <v>188</v>
      </c>
      <c r="B34" s="113"/>
      <c r="C34" s="113"/>
      <c r="D34" s="114">
        <v>500000</v>
      </c>
      <c r="E34" s="115">
        <f>D34*C7</f>
        <v>500000</v>
      </c>
      <c r="F34" s="8"/>
      <c r="G34" s="2"/>
      <c r="H34" s="2"/>
      <c r="I34" s="2"/>
    </row>
    <row r="35" spans="1:9" x14ac:dyDescent="0.2">
      <c r="A35" s="116" t="s">
        <v>189</v>
      </c>
      <c r="B35" s="8"/>
      <c r="C35" s="8"/>
      <c r="D35" s="89"/>
      <c r="E35" s="117">
        <v>1</v>
      </c>
      <c r="F35" s="8"/>
      <c r="G35" s="2"/>
      <c r="H35" s="2"/>
      <c r="I35" s="2"/>
    </row>
    <row r="36" spans="1:9" x14ac:dyDescent="0.2">
      <c r="A36" s="116" t="s">
        <v>190</v>
      </c>
      <c r="B36" s="8"/>
      <c r="C36" s="8"/>
      <c r="D36" s="89"/>
      <c r="E36" s="117"/>
      <c r="F36" s="8"/>
      <c r="G36" s="2"/>
      <c r="H36" s="2"/>
      <c r="I36" s="2"/>
    </row>
    <row r="37" spans="1:9" x14ac:dyDescent="0.2">
      <c r="A37" s="116" t="s">
        <v>191</v>
      </c>
      <c r="B37" s="8"/>
      <c r="C37" s="8"/>
      <c r="D37" s="89"/>
      <c r="E37" s="117"/>
      <c r="F37" s="8"/>
      <c r="G37" s="2"/>
      <c r="H37" s="2"/>
      <c r="I37" s="2"/>
    </row>
    <row r="38" spans="1:9" x14ac:dyDescent="0.2">
      <c r="A38" s="107"/>
      <c r="B38" s="108"/>
      <c r="C38" s="109"/>
      <c r="D38" s="110" t="s">
        <v>192</v>
      </c>
      <c r="E38" s="111" t="s">
        <v>193</v>
      </c>
      <c r="F38" s="8"/>
      <c r="G38" s="2"/>
      <c r="H38" s="2"/>
      <c r="I38" s="2"/>
    </row>
    <row r="39" spans="1:9" x14ac:dyDescent="0.2">
      <c r="A39" s="118" t="s">
        <v>194</v>
      </c>
      <c r="B39" s="119"/>
      <c r="C39" s="120"/>
      <c r="D39" s="114">
        <v>0</v>
      </c>
      <c r="E39" s="115">
        <f>D39*C8</f>
        <v>0</v>
      </c>
      <c r="F39" s="8"/>
      <c r="G39" s="2"/>
      <c r="H39" s="2"/>
      <c r="I39" s="2"/>
    </row>
    <row r="40" spans="1:9" x14ac:dyDescent="0.2">
      <c r="A40" s="86"/>
      <c r="B40" s="86"/>
      <c r="C40" s="86"/>
      <c r="D40" s="89"/>
      <c r="E40" s="89"/>
      <c r="F40" s="8"/>
      <c r="G40" s="2"/>
      <c r="H40" s="2"/>
      <c r="I40" s="2"/>
    </row>
    <row r="41" spans="1:9" x14ac:dyDescent="0.2">
      <c r="A41" s="103" t="s">
        <v>178</v>
      </c>
      <c r="B41" s="104"/>
      <c r="C41" s="121" t="s">
        <v>195</v>
      </c>
      <c r="D41" s="122" t="s">
        <v>167</v>
      </c>
      <c r="E41" s="123" t="s">
        <v>196</v>
      </c>
      <c r="F41" s="8"/>
      <c r="G41" s="2"/>
      <c r="H41" s="2"/>
      <c r="I41" s="2"/>
    </row>
    <row r="42" spans="1:9" x14ac:dyDescent="0.2">
      <c r="A42" s="72" t="s">
        <v>197</v>
      </c>
      <c r="B42" s="8"/>
      <c r="C42" s="12">
        <v>0</v>
      </c>
      <c r="D42" s="88">
        <v>0</v>
      </c>
      <c r="E42" s="75">
        <f>C42*D42*2</f>
        <v>0</v>
      </c>
      <c r="F42" s="8"/>
      <c r="G42" s="2"/>
      <c r="H42" s="2"/>
      <c r="I42" s="2"/>
    </row>
    <row r="43" spans="1:9" x14ac:dyDescent="0.2">
      <c r="A43" s="72" t="s">
        <v>198</v>
      </c>
      <c r="B43" s="8"/>
      <c r="C43" s="12">
        <v>0</v>
      </c>
      <c r="D43" s="88">
        <v>0</v>
      </c>
      <c r="E43" s="75">
        <f>D43*C43*4</f>
        <v>0</v>
      </c>
      <c r="F43" s="8"/>
      <c r="G43" s="2"/>
      <c r="H43" s="2"/>
      <c r="I43" s="2"/>
    </row>
    <row r="44" spans="1:9" x14ac:dyDescent="0.2">
      <c r="A44" s="118" t="s">
        <v>199</v>
      </c>
      <c r="B44" s="119"/>
      <c r="C44" s="124"/>
      <c r="D44" s="114"/>
      <c r="E44" s="125">
        <f>E42+E43</f>
        <v>0</v>
      </c>
      <c r="F44" s="8"/>
      <c r="G44" s="2"/>
      <c r="H44" s="2"/>
      <c r="I44" s="2"/>
    </row>
    <row r="45" spans="1:9" x14ac:dyDescent="0.2">
      <c r="A45" s="2"/>
      <c r="B45" s="2"/>
      <c r="C45" s="2"/>
      <c r="D45" s="2"/>
      <c r="E45" s="2"/>
      <c r="F45" s="2"/>
      <c r="G45" s="2"/>
      <c r="H45" s="2"/>
      <c r="I45" s="2"/>
    </row>
    <row r="46" spans="1:9" x14ac:dyDescent="0.2">
      <c r="A46" s="2"/>
      <c r="B46" s="2"/>
      <c r="C46" s="2"/>
      <c r="D46" s="2"/>
      <c r="E46" s="2"/>
      <c r="F46" s="2"/>
      <c r="G46" s="2"/>
      <c r="H46" s="2"/>
      <c r="I46" s="2"/>
    </row>
    <row r="47" spans="1:9" x14ac:dyDescent="0.2">
      <c r="A47" s="2"/>
      <c r="B47" s="2"/>
      <c r="C47" s="2"/>
      <c r="D47" s="2"/>
      <c r="E47" s="2"/>
      <c r="F47" s="2"/>
      <c r="G47" s="2"/>
      <c r="H47" s="2"/>
      <c r="I47" s="2"/>
    </row>
    <row r="48" spans="1:9" x14ac:dyDescent="0.2">
      <c r="A48" s="2"/>
      <c r="B48" s="2"/>
      <c r="C48" s="2"/>
      <c r="D48" s="2"/>
      <c r="E48" s="2"/>
      <c r="F48" s="2"/>
      <c r="G48" s="2"/>
      <c r="H48" s="2"/>
      <c r="I48" s="2"/>
    </row>
    <row r="49" spans="1:9" x14ac:dyDescent="0.2">
      <c r="A49" s="2"/>
      <c r="B49" s="2"/>
      <c r="C49" s="2"/>
      <c r="D49" s="2"/>
      <c r="E49" s="2"/>
      <c r="F49" s="2"/>
      <c r="G49" s="2"/>
      <c r="H49" s="2"/>
      <c r="I49" s="2"/>
    </row>
    <row r="50" spans="1:9" x14ac:dyDescent="0.2">
      <c r="A50" s="2"/>
      <c r="B50" s="2"/>
      <c r="C50" s="2"/>
      <c r="D50" s="2"/>
      <c r="E50" s="2"/>
      <c r="F50" s="2"/>
      <c r="G50" s="2"/>
      <c r="H50" s="2"/>
      <c r="I50" s="2"/>
    </row>
    <row r="51" spans="1:9" x14ac:dyDescent="0.2">
      <c r="A51" s="2"/>
      <c r="B51" s="2"/>
      <c r="C51" s="2"/>
      <c r="D51" s="2"/>
      <c r="E51" s="2"/>
      <c r="F51" s="2"/>
      <c r="G51" s="2"/>
      <c r="H51" s="2"/>
      <c r="I51" s="2"/>
    </row>
    <row r="52" spans="1:9" x14ac:dyDescent="0.2">
      <c r="A52" s="2"/>
      <c r="B52" s="2"/>
      <c r="C52" s="2"/>
      <c r="D52" s="2"/>
      <c r="E52" s="2"/>
      <c r="F52" s="2"/>
      <c r="G52" s="2"/>
      <c r="H52" s="2"/>
      <c r="I52" s="2"/>
    </row>
    <row r="53" spans="1:9" x14ac:dyDescent="0.2">
      <c r="A53" s="2"/>
      <c r="B53" s="2"/>
      <c r="C53" s="2"/>
      <c r="D53" s="2"/>
      <c r="E53" s="2"/>
      <c r="F53" s="2"/>
      <c r="G53" s="2"/>
      <c r="H53" s="2"/>
      <c r="I53" s="2"/>
    </row>
    <row r="54" spans="1:9" x14ac:dyDescent="0.2">
      <c r="A54" s="2"/>
      <c r="B54" s="2"/>
      <c r="C54" s="2"/>
      <c r="D54" s="2"/>
      <c r="E54" s="2"/>
      <c r="F54" s="2"/>
      <c r="G54" s="2"/>
      <c r="H54" s="2"/>
      <c r="I54" s="2"/>
    </row>
    <row r="55" spans="1:9" x14ac:dyDescent="0.2">
      <c r="A55" s="2"/>
      <c r="B55" s="2"/>
      <c r="C55" s="2"/>
      <c r="D55" s="2"/>
      <c r="E55" s="2"/>
      <c r="F55" s="2"/>
      <c r="G55" s="2"/>
      <c r="H55" s="2"/>
      <c r="I55" s="2"/>
    </row>
    <row r="56" spans="1:9" x14ac:dyDescent="0.2">
      <c r="A56" s="2"/>
      <c r="B56" s="2"/>
      <c r="C56" s="2"/>
      <c r="D56" s="2"/>
      <c r="E56" s="2"/>
      <c r="F56" s="2"/>
      <c r="G56" s="2"/>
      <c r="H56" s="2"/>
      <c r="I56" s="2"/>
    </row>
    <row r="57" spans="1:9" x14ac:dyDescent="0.2">
      <c r="A57" s="2"/>
      <c r="B57" s="2"/>
      <c r="C57" s="2"/>
      <c r="D57" s="2"/>
      <c r="E57" s="2"/>
      <c r="F57" s="2"/>
      <c r="G57" s="2"/>
      <c r="H57" s="2"/>
      <c r="I57" s="2"/>
    </row>
    <row r="58" spans="1:9" x14ac:dyDescent="0.2">
      <c r="A58" s="2"/>
      <c r="B58" s="2"/>
      <c r="C58" s="2"/>
      <c r="D58" s="2"/>
      <c r="E58" s="2"/>
      <c r="F58" s="2"/>
      <c r="G58" s="2"/>
      <c r="H58" s="2"/>
      <c r="I58" s="2"/>
    </row>
    <row r="59" spans="1:9" x14ac:dyDescent="0.2">
      <c r="A59" s="2"/>
      <c r="B59" s="2"/>
      <c r="C59" s="2"/>
      <c r="D59" s="2"/>
      <c r="E59" s="2"/>
      <c r="F59" s="2"/>
      <c r="G59" s="2"/>
      <c r="H59" s="2"/>
      <c r="I59" s="2"/>
    </row>
    <row r="60" spans="1:9" x14ac:dyDescent="0.2">
      <c r="A60" s="2"/>
      <c r="B60" s="2"/>
      <c r="C60" s="2"/>
      <c r="D60" s="2"/>
      <c r="E60" s="2"/>
      <c r="F60" s="2"/>
      <c r="G60" s="2"/>
      <c r="H60" s="2"/>
      <c r="I60" s="2"/>
    </row>
    <row r="61" spans="1:9" x14ac:dyDescent="0.2">
      <c r="A61" s="2"/>
      <c r="B61" s="2"/>
      <c r="C61" s="2"/>
      <c r="D61" s="2"/>
      <c r="E61" s="2"/>
      <c r="F61" s="2"/>
      <c r="G61" s="2"/>
      <c r="H61" s="2"/>
      <c r="I61" s="2"/>
    </row>
    <row r="62" spans="1:9" x14ac:dyDescent="0.2">
      <c r="A62" s="2"/>
      <c r="B62" s="2"/>
      <c r="C62" s="2"/>
      <c r="D62" s="2"/>
      <c r="E62" s="2"/>
      <c r="F62" s="2"/>
      <c r="G62" s="2"/>
      <c r="H62" s="2"/>
      <c r="I62" s="2"/>
    </row>
    <row r="63" spans="1:9" x14ac:dyDescent="0.2">
      <c r="A63" s="2"/>
      <c r="B63" s="2"/>
      <c r="C63" s="2"/>
      <c r="D63" s="2"/>
      <c r="E63" s="2"/>
      <c r="F63" s="2"/>
      <c r="G63" s="2"/>
      <c r="H63" s="2"/>
      <c r="I63" s="2"/>
    </row>
    <row r="64" spans="1:9" x14ac:dyDescent="0.2">
      <c r="A64" s="2"/>
      <c r="B64" s="2"/>
      <c r="C64" s="2"/>
      <c r="D64" s="2"/>
      <c r="E64" s="2"/>
      <c r="F64" s="2"/>
      <c r="G64" s="2"/>
      <c r="H64" s="2"/>
      <c r="I64" s="2"/>
    </row>
    <row r="65" spans="1:9" x14ac:dyDescent="0.2">
      <c r="A65" s="2"/>
      <c r="B65" s="2"/>
      <c r="C65" s="2"/>
      <c r="D65" s="2"/>
      <c r="E65" s="2"/>
      <c r="F65" s="2"/>
      <c r="G65" s="2"/>
      <c r="H65" s="2"/>
      <c r="I65" s="2"/>
    </row>
    <row r="66" spans="1:9" x14ac:dyDescent="0.2">
      <c r="A66" s="2"/>
      <c r="B66" s="2"/>
      <c r="C66" s="2"/>
      <c r="D66" s="2"/>
      <c r="E66" s="2"/>
      <c r="F66" s="2"/>
      <c r="G66" s="2"/>
      <c r="H66" s="2"/>
      <c r="I66" s="2"/>
    </row>
  </sheetData>
  <mergeCells count="3">
    <mergeCell ref="A2:F2"/>
    <mergeCell ref="A4:C4"/>
    <mergeCell ref="A11:D11"/>
  </mergeCells>
  <pageMargins left="0.74791666666666667" right="0.74791666666666667" top="0.98402777777777772" bottom="0.98402777777777772" header="0.51180555555555551" footer="0.51180555555555551"/>
  <pageSetup firstPageNumber="0" orientation="portrait" horizontalDpi="300" verticalDpi="300"/>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V24"/>
  <sheetViews>
    <sheetView showGridLines="0" workbookViewId="0">
      <selection activeCell="B6" sqref="B6"/>
    </sheetView>
  </sheetViews>
  <sheetFormatPr baseColWidth="10" defaultRowHeight="12.75" x14ac:dyDescent="0.2"/>
  <cols>
    <col min="1" max="1" width="36.7109375" style="14" bestFit="1" customWidth="1"/>
    <col min="2" max="2" width="7.5703125" style="14" customWidth="1"/>
    <col min="3" max="3" width="15.42578125" style="14" customWidth="1"/>
    <col min="4" max="5" width="13.5703125" style="14" customWidth="1"/>
    <col min="6" max="6" width="10.5703125" style="14" customWidth="1"/>
    <col min="7" max="7" width="15.28515625" style="14" customWidth="1"/>
    <col min="8" max="8" width="11.28515625" style="14" bestFit="1" customWidth="1"/>
    <col min="9" max="9" width="14.42578125" style="14" customWidth="1"/>
    <col min="10" max="10" width="4.5703125" style="14" bestFit="1" customWidth="1"/>
    <col min="11" max="11" width="7" style="14" bestFit="1" customWidth="1"/>
    <col min="12" max="13" width="13" style="14" customWidth="1"/>
    <col min="14" max="15" width="10.7109375" style="14" customWidth="1"/>
    <col min="16" max="16" width="13" style="14" customWidth="1"/>
    <col min="17" max="17" width="10.7109375" style="14" customWidth="1"/>
    <col min="18" max="19" width="13" style="14" customWidth="1"/>
    <col min="20" max="20" width="10.7109375" style="14" customWidth="1"/>
    <col min="21" max="22" width="13" style="14" customWidth="1"/>
    <col min="23" max="23" width="10.7109375" style="14" customWidth="1"/>
    <col min="24" max="24" width="13" style="14" customWidth="1"/>
    <col min="25" max="25" width="15.140625" style="14" customWidth="1"/>
    <col min="26" max="26" width="18.28515625" style="14" customWidth="1"/>
    <col min="27" max="28" width="11.42578125" style="14"/>
    <col min="29" max="29" width="3.7109375" style="14" customWidth="1"/>
    <col min="30" max="16384" width="11.42578125" style="14"/>
  </cols>
  <sheetData>
    <row r="1" spans="1:22" ht="13.5" thickBot="1" x14ac:dyDescent="0.25">
      <c r="A1" s="419" t="s">
        <v>136</v>
      </c>
      <c r="B1" s="420"/>
      <c r="C1" s="420"/>
      <c r="D1" s="420"/>
      <c r="E1" s="420"/>
      <c r="F1" s="420"/>
      <c r="G1" s="420"/>
      <c r="H1" s="420"/>
      <c r="I1" s="421"/>
      <c r="J1" s="62"/>
      <c r="K1" s="414" t="s">
        <v>364</v>
      </c>
      <c r="L1" s="17"/>
      <c r="M1" s="17"/>
      <c r="N1" s="17"/>
      <c r="O1" s="17"/>
      <c r="P1" s="17"/>
      <c r="Q1" s="17"/>
      <c r="R1" s="17"/>
      <c r="S1" s="17"/>
      <c r="T1" s="17"/>
      <c r="U1" s="17"/>
      <c r="V1" s="17"/>
    </row>
    <row r="2" spans="1:22" ht="39.75" thickTop="1" thickBot="1" x14ac:dyDescent="0.25">
      <c r="A2" s="418" t="s">
        <v>137</v>
      </c>
      <c r="B2" s="418" t="s">
        <v>561</v>
      </c>
      <c r="C2" s="417" t="s">
        <v>138</v>
      </c>
      <c r="D2" s="417" t="s">
        <v>139</v>
      </c>
      <c r="E2" s="417" t="s">
        <v>271</v>
      </c>
      <c r="F2" s="417" t="s">
        <v>565</v>
      </c>
      <c r="G2" s="417" t="s">
        <v>567</v>
      </c>
      <c r="H2" s="417" t="s">
        <v>140</v>
      </c>
      <c r="I2" s="417" t="s">
        <v>141</v>
      </c>
      <c r="J2" s="56"/>
      <c r="K2" s="415" t="s">
        <v>562</v>
      </c>
      <c r="L2" s="17"/>
      <c r="M2" s="17"/>
      <c r="N2" s="17"/>
      <c r="O2" s="17"/>
      <c r="P2" s="17"/>
      <c r="Q2" s="17"/>
      <c r="R2" s="17"/>
      <c r="S2" s="17"/>
      <c r="T2" s="17"/>
      <c r="U2" s="17"/>
    </row>
    <row r="3" spans="1:22" ht="14.25" thickTop="1" thickBot="1" x14ac:dyDescent="0.25">
      <c r="A3" s="416" t="s">
        <v>270</v>
      </c>
      <c r="B3" s="723" t="s">
        <v>364</v>
      </c>
      <c r="C3" s="430">
        <v>0.2</v>
      </c>
      <c r="D3" s="724">
        <v>7.0000000000000001E-3</v>
      </c>
      <c r="E3" s="431">
        <v>2</v>
      </c>
      <c r="F3" s="431">
        <f>+Parametros!$B$16+E3</f>
        <v>14</v>
      </c>
      <c r="G3" s="429">
        <f>+IF(B3="SI",7000,0)</f>
        <v>7000</v>
      </c>
      <c r="H3" s="429">
        <f>+IF(B3="SI",C3*D3*(Resumen!$D$30/(1-Resumen!$E$36))*F3/12,0)</f>
        <v>541224.55561610742</v>
      </c>
      <c r="I3" s="20"/>
      <c r="J3" s="17"/>
      <c r="K3" s="17"/>
      <c r="L3" s="17"/>
      <c r="M3" s="17"/>
      <c r="N3" s="17"/>
      <c r="O3" s="17"/>
      <c r="P3" s="17"/>
      <c r="Q3" s="17"/>
      <c r="R3" s="17"/>
      <c r="S3" s="17"/>
      <c r="T3" s="17"/>
      <c r="U3" s="17"/>
    </row>
    <row r="4" spans="1:22" ht="14.25" thickTop="1" thickBot="1" x14ac:dyDescent="0.25">
      <c r="A4" s="416" t="s">
        <v>563</v>
      </c>
      <c r="B4" s="723" t="s">
        <v>562</v>
      </c>
      <c r="C4" s="430">
        <v>0.05</v>
      </c>
      <c r="D4" s="724">
        <v>5.0000000000000001E-3</v>
      </c>
      <c r="E4" s="431">
        <v>38</v>
      </c>
      <c r="F4" s="431">
        <f>+Parametros!$B$16+E4</f>
        <v>50</v>
      </c>
      <c r="G4" s="429">
        <f t="shared" ref="G4:G9" si="0">+IF(B4="SI",7000,0)</f>
        <v>0</v>
      </c>
      <c r="H4" s="429">
        <f>+IF(B4="SI",C4*D4*(Resumen!$D$30/(1-Resumen!$E$36))*F4/12,0)</f>
        <v>0</v>
      </c>
      <c r="I4" s="20"/>
      <c r="J4" s="17"/>
      <c r="K4" s="17"/>
      <c r="L4" s="17"/>
      <c r="M4" s="17"/>
      <c r="N4" s="17"/>
      <c r="O4" s="17"/>
      <c r="P4" s="17"/>
      <c r="Q4" s="17"/>
      <c r="R4" s="17"/>
      <c r="S4" s="17"/>
      <c r="T4" s="17"/>
      <c r="U4" s="17"/>
    </row>
    <row r="5" spans="1:22" ht="14.25" thickTop="1" thickBot="1" x14ac:dyDescent="0.25">
      <c r="A5" s="416" t="s">
        <v>269</v>
      </c>
      <c r="B5" s="723" t="s">
        <v>562</v>
      </c>
      <c r="C5" s="430">
        <v>0.15</v>
      </c>
      <c r="D5" s="724">
        <v>7.0000000000000001E-3</v>
      </c>
      <c r="E5" s="431">
        <v>0</v>
      </c>
      <c r="F5" s="431">
        <f>+Parametros!$B$16+E5</f>
        <v>12</v>
      </c>
      <c r="G5" s="429">
        <f t="shared" si="0"/>
        <v>0</v>
      </c>
      <c r="H5" s="429">
        <f>+IF(B5="SI",C5*D5*(Resumen!$D$30/(1-Resumen!$E$36))*F5/12,0)</f>
        <v>0</v>
      </c>
      <c r="I5" s="20"/>
      <c r="J5" s="17"/>
      <c r="K5" s="17"/>
      <c r="L5" s="17"/>
      <c r="M5" s="17"/>
      <c r="N5" s="17"/>
      <c r="O5" s="17"/>
      <c r="P5" s="17"/>
      <c r="Q5" s="17"/>
      <c r="R5" s="17"/>
      <c r="S5" s="17"/>
      <c r="T5" s="17"/>
      <c r="U5" s="17"/>
    </row>
    <row r="6" spans="1:22" ht="14.25" thickTop="1" thickBot="1" x14ac:dyDescent="0.25">
      <c r="A6" s="416" t="s">
        <v>564</v>
      </c>
      <c r="B6" s="723" t="s">
        <v>562</v>
      </c>
      <c r="C6" s="430">
        <v>1</v>
      </c>
      <c r="D6" s="724">
        <v>7.0000000000000001E-3</v>
      </c>
      <c r="E6" s="431">
        <v>2</v>
      </c>
      <c r="F6" s="431">
        <f>+J6+E6</f>
        <v>8</v>
      </c>
      <c r="G6" s="429">
        <f t="shared" si="0"/>
        <v>0</v>
      </c>
      <c r="H6" s="429">
        <f>+IF(B6="SI",C6*D6*(Resumen!$D$30/(1-Resumen!$E$36))*F6/12,0)</f>
        <v>0</v>
      </c>
      <c r="I6" s="20"/>
      <c r="J6" s="437">
        <v>6</v>
      </c>
      <c r="K6" s="438">
        <v>0.1</v>
      </c>
      <c r="L6" s="17"/>
      <c r="M6" s="17"/>
      <c r="N6" s="17"/>
      <c r="O6" s="17"/>
      <c r="P6" s="17"/>
      <c r="Q6" s="17"/>
      <c r="R6" s="17"/>
      <c r="S6" s="17"/>
      <c r="T6" s="17"/>
      <c r="U6" s="17"/>
    </row>
    <row r="7" spans="1:22" ht="14.25" thickTop="1" thickBot="1" x14ac:dyDescent="0.25">
      <c r="A7" s="416" t="s">
        <v>142</v>
      </c>
      <c r="B7" s="723" t="s">
        <v>562</v>
      </c>
      <c r="C7" s="430">
        <v>0.2</v>
      </c>
      <c r="D7" s="724">
        <v>7.0000000000000001E-3</v>
      </c>
      <c r="E7" s="431">
        <v>2</v>
      </c>
      <c r="F7" s="431">
        <f>+Parametros!$B$16+E7</f>
        <v>14</v>
      </c>
      <c r="G7" s="429">
        <f t="shared" si="0"/>
        <v>0</v>
      </c>
      <c r="H7" s="429">
        <f>+IF(B7="SI",C7*D7*(Resumen!$D$30/(1-Resumen!$E$36))*F7/12,0)</f>
        <v>0</v>
      </c>
      <c r="I7" s="20"/>
      <c r="J7" s="17"/>
      <c r="K7" s="17"/>
      <c r="L7" s="17"/>
      <c r="M7" s="17"/>
      <c r="N7" s="17"/>
      <c r="O7" s="17"/>
      <c r="P7" s="17"/>
      <c r="Q7" s="17"/>
      <c r="R7" s="17"/>
      <c r="S7" s="17"/>
      <c r="T7" s="17"/>
      <c r="U7" s="17"/>
    </row>
    <row r="8" spans="1:22" ht="14.25" thickTop="1" thickBot="1" x14ac:dyDescent="0.25">
      <c r="A8" s="416" t="s">
        <v>268</v>
      </c>
      <c r="B8" s="723" t="s">
        <v>562</v>
      </c>
      <c r="C8" s="430">
        <v>1</v>
      </c>
      <c r="D8" s="724">
        <v>1.5E-3</v>
      </c>
      <c r="E8" s="431">
        <v>3</v>
      </c>
      <c r="F8" s="431">
        <f>+Parametros!$B$16+E8</f>
        <v>15</v>
      </c>
      <c r="G8" s="429">
        <f t="shared" si="0"/>
        <v>0</v>
      </c>
      <c r="H8" s="429">
        <f>+IF(B8="SI",C8*D8*(Resumen!$D$30/(1-Resumen!$E$36))*F8/12,0)</f>
        <v>0</v>
      </c>
      <c r="I8" s="20"/>
      <c r="J8" s="17"/>
      <c r="K8" s="17"/>
      <c r="L8" s="17"/>
      <c r="M8" s="17"/>
      <c r="N8" s="17"/>
      <c r="O8" s="17"/>
      <c r="P8" s="17"/>
      <c r="Q8" s="17"/>
      <c r="R8" s="17"/>
      <c r="S8" s="17"/>
      <c r="T8" s="17"/>
      <c r="U8" s="17"/>
    </row>
    <row r="9" spans="1:22" ht="14.25" thickTop="1" thickBot="1" x14ac:dyDescent="0.25">
      <c r="A9" s="416" t="s">
        <v>267</v>
      </c>
      <c r="B9" s="723" t="s">
        <v>562</v>
      </c>
      <c r="C9" s="430">
        <v>0.2</v>
      </c>
      <c r="D9" s="724"/>
      <c r="E9" s="431">
        <v>4</v>
      </c>
      <c r="F9" s="431">
        <f>+Parametros!$B$16+E9</f>
        <v>16</v>
      </c>
      <c r="G9" s="429">
        <f t="shared" si="0"/>
        <v>0</v>
      </c>
      <c r="H9" s="429">
        <f>+IF(B9="SI",C9*D9*(Resumen!$D$30/(1-Resumen!$E$36))*F9/12,0)</f>
        <v>0</v>
      </c>
      <c r="I9" s="20"/>
      <c r="J9" s="17"/>
      <c r="K9" s="17"/>
      <c r="L9" s="17"/>
      <c r="M9" s="17"/>
      <c r="N9" s="17"/>
      <c r="O9" s="17"/>
      <c r="P9" s="17"/>
      <c r="Q9" s="17"/>
      <c r="R9" s="17"/>
      <c r="S9" s="17"/>
      <c r="T9" s="17"/>
      <c r="U9" s="17"/>
    </row>
    <row r="10" spans="1:22" ht="14.25" thickTop="1" thickBot="1" x14ac:dyDescent="0.25">
      <c r="A10" s="186" t="s">
        <v>143</v>
      </c>
      <c r="B10" s="61"/>
      <c r="C10" s="61"/>
      <c r="D10" s="430">
        <f>SUM(D3:D9)</f>
        <v>3.4500000000000003E-2</v>
      </c>
      <c r="E10" s="61"/>
      <c r="F10" s="61"/>
      <c r="G10" s="61"/>
      <c r="H10" s="436">
        <f>SUM(H3:H9)</f>
        <v>541224.55561610742</v>
      </c>
      <c r="I10" s="68"/>
      <c r="J10" s="17"/>
      <c r="K10" s="17"/>
      <c r="L10" s="17"/>
      <c r="M10" s="17"/>
      <c r="N10" s="17"/>
      <c r="O10" s="17"/>
      <c r="P10" s="17"/>
      <c r="Q10" s="17"/>
      <c r="R10" s="17"/>
      <c r="S10" s="17"/>
      <c r="T10" s="17"/>
      <c r="U10" s="17"/>
    </row>
    <row r="11" spans="1:22" ht="14.25" thickTop="1" thickBot="1" x14ac:dyDescent="0.25">
      <c r="A11" s="186" t="s">
        <v>566</v>
      </c>
      <c r="B11" s="61"/>
      <c r="C11" s="61"/>
      <c r="D11" s="61"/>
      <c r="E11" s="61"/>
      <c r="F11" s="61"/>
      <c r="G11" s="61"/>
      <c r="H11" s="424"/>
      <c r="I11" s="68"/>
      <c r="J11" s="17"/>
      <c r="K11" s="17"/>
      <c r="L11" s="17"/>
      <c r="M11" s="17"/>
      <c r="N11" s="17"/>
      <c r="O11" s="17"/>
      <c r="P11" s="17"/>
      <c r="Q11" s="17"/>
      <c r="R11" s="17"/>
      <c r="S11" s="17"/>
      <c r="T11" s="17"/>
      <c r="U11" s="17"/>
    </row>
    <row r="12" spans="1:22" ht="13.5" thickTop="1" x14ac:dyDescent="0.2"/>
    <row r="13" spans="1:22" x14ac:dyDescent="0.2">
      <c r="A13" s="14" t="s">
        <v>576</v>
      </c>
    </row>
    <row r="24" ht="11.25" customHeight="1" x14ac:dyDescent="0.2"/>
  </sheetData>
  <dataValidations count="1">
    <dataValidation type="list" allowBlank="1" showInputMessage="1" showErrorMessage="1" sqref="B3:B9">
      <formula1>$K$1:$K$2</formula1>
    </dataValidation>
  </dataValidations>
  <pageMargins left="0.74791666666666667" right="0.74791666666666667" top="0.98402777777777772" bottom="0.98402777777777772" header="0.51180555555555551" footer="0.51180555555555551"/>
  <pageSetup firstPageNumber="0" orientation="landscape" horizontalDpi="300" verticalDpi="3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U9"/>
  <sheetViews>
    <sheetView workbookViewId="0">
      <selection activeCell="E9" sqref="E9"/>
    </sheetView>
  </sheetViews>
  <sheetFormatPr baseColWidth="10" defaultRowHeight="12.75" x14ac:dyDescent="0.2"/>
  <cols>
    <col min="1" max="1" width="40.28515625" style="14" customWidth="1"/>
    <col min="2" max="2" width="15.42578125" style="14" customWidth="1"/>
    <col min="3" max="3" width="14" style="14" customWidth="1"/>
    <col min="4" max="5" width="13.5703125" style="14" customWidth="1"/>
    <col min="6" max="6" width="20.28515625" style="14" customWidth="1"/>
    <col min="7" max="7" width="14.42578125" style="14" customWidth="1"/>
    <col min="8" max="8" width="21.5703125" style="14" customWidth="1"/>
    <col min="9" max="9" width="19.7109375" style="14" customWidth="1"/>
    <col min="10" max="12" width="13" style="14" customWidth="1"/>
    <col min="13" max="14" width="10.7109375" style="14" customWidth="1"/>
    <col min="15" max="15" width="13" style="14" customWidth="1"/>
    <col min="16" max="16" width="10.7109375" style="14" customWidth="1"/>
    <col min="17" max="18" width="13" style="14" customWidth="1"/>
    <col min="19" max="19" width="10.7109375" style="14" customWidth="1"/>
    <col min="20" max="21" width="13" style="14" customWidth="1"/>
    <col min="22" max="22" width="10.7109375" style="14" customWidth="1"/>
    <col min="23" max="23" width="13" style="14" customWidth="1"/>
    <col min="24" max="24" width="15.140625" style="14" customWidth="1"/>
    <col min="25" max="25" width="18.28515625" style="14" customWidth="1"/>
    <col min="26" max="27" width="11.42578125" style="14"/>
    <col min="28" max="28" width="3.7109375" style="14" customWidth="1"/>
    <col min="29" max="16384" width="11.42578125" style="14"/>
  </cols>
  <sheetData>
    <row r="1" spans="1:21" ht="13.5" thickBot="1" x14ac:dyDescent="0.25">
      <c r="A1" s="864" t="s">
        <v>144</v>
      </c>
      <c r="B1" s="864"/>
      <c r="C1" s="864"/>
      <c r="D1" s="864"/>
      <c r="E1" s="864"/>
      <c r="F1" s="55"/>
      <c r="G1" s="17"/>
      <c r="H1" s="17"/>
      <c r="I1" s="17"/>
      <c r="J1" s="17"/>
      <c r="K1" s="17"/>
      <c r="L1" s="17"/>
      <c r="M1" s="17"/>
      <c r="N1" s="17"/>
      <c r="O1" s="17"/>
      <c r="P1" s="17"/>
      <c r="Q1" s="17"/>
      <c r="R1" s="17"/>
      <c r="S1" s="17"/>
      <c r="T1" s="17"/>
      <c r="U1" s="17"/>
    </row>
    <row r="2" spans="1:21" ht="26.25" thickBot="1" x14ac:dyDescent="0.25">
      <c r="A2" s="63" t="s">
        <v>145</v>
      </c>
      <c r="B2" s="64" t="s">
        <v>146</v>
      </c>
      <c r="C2" s="64" t="s">
        <v>147</v>
      </c>
      <c r="D2" s="64" t="s">
        <v>148</v>
      </c>
      <c r="E2" s="65" t="s">
        <v>140</v>
      </c>
      <c r="G2" s="56"/>
      <c r="H2" s="17"/>
      <c r="I2" s="17"/>
      <c r="J2" s="17"/>
      <c r="K2" s="17"/>
      <c r="L2" s="17"/>
      <c r="M2" s="17"/>
      <c r="N2" s="17"/>
      <c r="O2" s="17"/>
      <c r="P2" s="17"/>
      <c r="Q2" s="17"/>
      <c r="R2" s="17"/>
      <c r="S2" s="17"/>
      <c r="T2" s="17"/>
      <c r="U2" s="17"/>
    </row>
    <row r="3" spans="1:21" x14ac:dyDescent="0.2">
      <c r="A3" s="17" t="s">
        <v>149</v>
      </c>
      <c r="B3" s="427">
        <v>0</v>
      </c>
      <c r="C3" s="69">
        <v>0</v>
      </c>
      <c r="D3" s="66">
        <v>0</v>
      </c>
      <c r="E3" s="725">
        <f>IF(Resumen!$D$30&gt;=C3,B3*D3,0)</f>
        <v>0</v>
      </c>
      <c r="G3" s="17"/>
      <c r="H3" s="17"/>
      <c r="I3" s="17"/>
      <c r="J3" s="17"/>
      <c r="K3" s="17"/>
      <c r="L3" s="17"/>
      <c r="M3" s="17"/>
      <c r="N3" s="17"/>
      <c r="O3" s="17"/>
      <c r="P3" s="17"/>
      <c r="Q3" s="17"/>
      <c r="R3" s="17"/>
      <c r="S3" s="17"/>
      <c r="T3" s="17"/>
      <c r="U3" s="17"/>
    </row>
    <row r="4" spans="1:21" x14ac:dyDescent="0.2">
      <c r="A4" s="14" t="s">
        <v>150</v>
      </c>
      <c r="B4" s="426">
        <f>6.94/1000</f>
        <v>6.94E-3</v>
      </c>
      <c r="C4" s="69">
        <v>0</v>
      </c>
      <c r="D4" s="66">
        <v>1</v>
      </c>
      <c r="E4" s="725">
        <f ca="1">Resumen!D39*D4*B4</f>
        <v>3087417.4444257319</v>
      </c>
      <c r="G4" s="17"/>
      <c r="H4" s="17"/>
      <c r="I4" s="17"/>
      <c r="J4" s="17"/>
      <c r="K4" s="17"/>
      <c r="L4" s="17"/>
      <c r="M4" s="17"/>
      <c r="N4" s="17"/>
      <c r="O4" s="17"/>
      <c r="P4" s="17"/>
      <c r="Q4" s="17"/>
      <c r="R4" s="17"/>
      <c r="S4" s="17"/>
      <c r="T4" s="17"/>
      <c r="U4" s="17"/>
    </row>
    <row r="5" spans="1:21" x14ac:dyDescent="0.2">
      <c r="A5" s="14" t="s">
        <v>151</v>
      </c>
      <c r="B5" s="425">
        <f>4/1000</f>
        <v>4.0000000000000001E-3</v>
      </c>
      <c r="C5" s="69">
        <v>0</v>
      </c>
      <c r="D5" s="66">
        <v>1</v>
      </c>
      <c r="E5" s="725">
        <f ca="1">Resumen!D39*D5*B5</f>
        <v>1779491.3224355802</v>
      </c>
      <c r="G5" s="17"/>
      <c r="H5" s="17"/>
      <c r="I5" s="17"/>
      <c r="J5" s="17"/>
      <c r="K5" s="17"/>
      <c r="L5" s="17"/>
      <c r="M5" s="17"/>
      <c r="N5" s="17"/>
      <c r="O5" s="17"/>
      <c r="P5" s="17"/>
      <c r="Q5" s="17"/>
      <c r="R5" s="17"/>
      <c r="S5" s="17"/>
      <c r="T5" s="17"/>
      <c r="U5" s="17"/>
    </row>
    <row r="6" spans="1:21" x14ac:dyDescent="0.2">
      <c r="A6" s="14" t="s">
        <v>577</v>
      </c>
      <c r="B6" s="426"/>
      <c r="C6" s="69"/>
      <c r="D6" s="66"/>
      <c r="E6" s="725"/>
      <c r="G6" s="17"/>
      <c r="H6" s="17"/>
      <c r="I6" s="17"/>
      <c r="J6" s="17"/>
      <c r="K6" s="17"/>
      <c r="L6" s="17"/>
      <c r="M6" s="17"/>
      <c r="N6" s="17"/>
      <c r="O6" s="17"/>
      <c r="P6" s="17"/>
      <c r="Q6" s="17"/>
      <c r="R6" s="17"/>
      <c r="S6" s="17"/>
      <c r="T6" s="17"/>
      <c r="U6" s="17"/>
    </row>
    <row r="7" spans="1:21" x14ac:dyDescent="0.2">
      <c r="A7" s="14" t="s">
        <v>578</v>
      </c>
      <c r="B7" s="426"/>
      <c r="C7" s="69"/>
      <c r="D7" s="66"/>
      <c r="E7" s="725"/>
      <c r="G7" s="17"/>
      <c r="H7" s="17"/>
      <c r="I7" s="17"/>
      <c r="J7" s="17"/>
      <c r="K7" s="17"/>
      <c r="L7" s="17"/>
      <c r="M7" s="17"/>
      <c r="N7" s="17"/>
      <c r="O7" s="17"/>
      <c r="P7" s="17"/>
      <c r="Q7" s="17"/>
      <c r="R7" s="17"/>
      <c r="S7" s="17"/>
      <c r="T7" s="17"/>
      <c r="U7" s="17"/>
    </row>
    <row r="8" spans="1:21" ht="13.5" thickBot="1" x14ac:dyDescent="0.25">
      <c r="A8" s="14" t="s">
        <v>579</v>
      </c>
      <c r="B8" s="426"/>
      <c r="C8" s="69"/>
      <c r="D8" s="66"/>
      <c r="E8" s="725"/>
      <c r="G8" s="17"/>
      <c r="H8" s="17"/>
      <c r="I8" s="17"/>
      <c r="J8" s="17"/>
      <c r="K8" s="17"/>
      <c r="L8" s="17"/>
      <c r="M8" s="17"/>
      <c r="N8" s="17"/>
      <c r="O8" s="17"/>
      <c r="P8" s="17"/>
      <c r="Q8" s="17"/>
      <c r="R8" s="17"/>
      <c r="S8" s="17"/>
      <c r="T8" s="17"/>
      <c r="U8" s="17"/>
    </row>
    <row r="9" spans="1:21" ht="13.5" thickBot="1" x14ac:dyDescent="0.25">
      <c r="A9" s="413" t="s">
        <v>570</v>
      </c>
      <c r="B9" s="428">
        <f>SUM(B3:B8)</f>
        <v>1.094E-2</v>
      </c>
      <c r="C9" s="67"/>
      <c r="D9" s="67"/>
      <c r="E9" s="60">
        <f ca="1">SUM(E3:E8)</f>
        <v>4866908.7668613121</v>
      </c>
      <c r="G9" s="17"/>
      <c r="H9" s="17"/>
      <c r="I9" s="17"/>
      <c r="J9" s="17"/>
      <c r="K9" s="17"/>
      <c r="L9" s="17"/>
      <c r="M9" s="17"/>
      <c r="N9" s="17"/>
      <c r="O9" s="17"/>
      <c r="P9" s="17"/>
      <c r="Q9" s="17"/>
      <c r="R9" s="17"/>
      <c r="S9" s="17"/>
      <c r="T9" s="17"/>
      <c r="U9" s="17"/>
    </row>
  </sheetData>
  <mergeCells count="1">
    <mergeCell ref="A1:E1"/>
  </mergeCells>
  <pageMargins left="0.74791666666666667" right="0.74791666666666667" top="0.98402777777777772" bottom="0.98402777777777772" header="0.51180555555555551" footer="0.51180555555555551"/>
  <pageSetup firstPageNumber="0" orientation="landscape" horizontalDpi="300" verticalDpi="300"/>
  <headerFooter alignWithMargins="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zoomScale="85" zoomScaleNormal="85" workbookViewId="0">
      <selection sqref="A1:B1"/>
    </sheetView>
  </sheetViews>
  <sheetFormatPr baseColWidth="10" defaultRowHeight="12.75" x14ac:dyDescent="0.2"/>
  <cols>
    <col min="1" max="1" width="11.42578125" style="1"/>
    <col min="2" max="2" width="131.42578125" style="1" customWidth="1"/>
    <col min="3" max="3" width="11.85546875" style="1" customWidth="1"/>
    <col min="4" max="16384" width="11.42578125" style="1"/>
  </cols>
  <sheetData>
    <row r="1" spans="1:2" x14ac:dyDescent="0.2">
      <c r="A1" s="801" t="s">
        <v>68</v>
      </c>
      <c r="B1" s="801"/>
    </row>
    <row r="2" spans="1:2" ht="13.5" thickBot="1" x14ac:dyDescent="0.25">
      <c r="A2" s="2"/>
      <c r="B2" s="2"/>
    </row>
    <row r="3" spans="1:2" ht="25.5" customHeight="1" x14ac:dyDescent="0.2">
      <c r="A3" s="581">
        <v>1</v>
      </c>
      <c r="B3" s="582"/>
    </row>
    <row r="4" spans="1:2" ht="25.5" customHeight="1" x14ac:dyDescent="0.25">
      <c r="A4" s="583">
        <v>2</v>
      </c>
      <c r="B4" s="588"/>
    </row>
    <row r="5" spans="1:2" ht="25.5" customHeight="1" x14ac:dyDescent="0.2">
      <c r="A5" s="583">
        <v>3</v>
      </c>
      <c r="B5" s="584"/>
    </row>
    <row r="6" spans="1:2" ht="25.5" customHeight="1" x14ac:dyDescent="0.2">
      <c r="A6" s="583">
        <v>4</v>
      </c>
      <c r="B6" s="584"/>
    </row>
    <row r="7" spans="1:2" ht="25.5" customHeight="1" x14ac:dyDescent="0.2">
      <c r="A7" s="583">
        <v>5</v>
      </c>
      <c r="B7" s="584"/>
    </row>
    <row r="8" spans="1:2" ht="25.5" customHeight="1" x14ac:dyDescent="0.2">
      <c r="A8" s="583">
        <v>6</v>
      </c>
      <c r="B8" s="584"/>
    </row>
    <row r="9" spans="1:2" ht="25.5" customHeight="1" x14ac:dyDescent="0.2">
      <c r="A9" s="583">
        <v>7</v>
      </c>
      <c r="B9" s="584"/>
    </row>
    <row r="10" spans="1:2" ht="25.5" customHeight="1" x14ac:dyDescent="0.2">
      <c r="A10" s="583">
        <v>8</v>
      </c>
      <c r="B10" s="584"/>
    </row>
    <row r="11" spans="1:2" ht="25.5" customHeight="1" x14ac:dyDescent="0.2">
      <c r="A11" s="583">
        <v>9</v>
      </c>
      <c r="B11" s="584"/>
    </row>
    <row r="12" spans="1:2" ht="46.5" customHeight="1" x14ac:dyDescent="0.2">
      <c r="A12" s="583">
        <v>10</v>
      </c>
      <c r="B12" s="584"/>
    </row>
    <row r="13" spans="1:2" ht="25.5" customHeight="1" x14ac:dyDescent="0.2">
      <c r="A13" s="583">
        <v>11</v>
      </c>
      <c r="B13" s="585"/>
    </row>
    <row r="14" spans="1:2" ht="25.5" customHeight="1" x14ac:dyDescent="0.2">
      <c r="A14" s="583">
        <v>12</v>
      </c>
      <c r="B14" s="585"/>
    </row>
    <row r="15" spans="1:2" ht="25.5" customHeight="1" x14ac:dyDescent="0.2">
      <c r="A15" s="583">
        <v>13</v>
      </c>
      <c r="B15" s="585"/>
    </row>
    <row r="16" spans="1:2" ht="25.5" customHeight="1" x14ac:dyDescent="0.2">
      <c r="A16" s="583">
        <v>14</v>
      </c>
      <c r="B16" s="585"/>
    </row>
    <row r="17" spans="1:3" ht="25.5" customHeight="1" x14ac:dyDescent="0.2">
      <c r="A17" s="583">
        <v>15</v>
      </c>
      <c r="B17" s="585"/>
    </row>
    <row r="18" spans="1:3" ht="25.5" customHeight="1" x14ac:dyDescent="0.2">
      <c r="A18" s="583">
        <v>16</v>
      </c>
      <c r="B18" s="585"/>
    </row>
    <row r="19" spans="1:3" ht="25.5" customHeight="1" x14ac:dyDescent="0.2">
      <c r="A19" s="583">
        <v>17</v>
      </c>
      <c r="B19" s="585"/>
    </row>
    <row r="20" spans="1:3" ht="25.5" customHeight="1" x14ac:dyDescent="0.2">
      <c r="A20" s="583">
        <v>18</v>
      </c>
      <c r="B20" s="585"/>
    </row>
    <row r="21" spans="1:3" ht="25.5" customHeight="1" x14ac:dyDescent="0.2">
      <c r="A21" s="583">
        <v>19</v>
      </c>
      <c r="B21" s="585"/>
    </row>
    <row r="22" spans="1:3" ht="25.5" customHeight="1" thickBot="1" x14ac:dyDescent="0.25">
      <c r="A22" s="586">
        <v>20</v>
      </c>
      <c r="B22" s="587"/>
    </row>
    <row r="23" spans="1:3" ht="34.5" customHeight="1" x14ac:dyDescent="0.2">
      <c r="A23" s="865" t="s">
        <v>69</v>
      </c>
      <c r="B23" s="865"/>
      <c r="C23" s="16"/>
    </row>
  </sheetData>
  <mergeCells count="2">
    <mergeCell ref="A1:B1"/>
    <mergeCell ref="A23:B23"/>
  </mergeCells>
  <pageMargins left="0.4201388888888889" right="0.74791666666666667" top="0.98402777777777772" bottom="0.98402777777777772" header="0.51180555555555551" footer="0.51180555555555551"/>
  <pageSetup firstPageNumber="0" orientation="portrait" horizontalDpi="300" verticalDpi="300"/>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259EDBE6-9388-4B42-9389-C8B694C0C341}">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21</vt:i4>
      </vt:variant>
      <vt:variant>
        <vt:lpstr>Rangos con nombre</vt:lpstr>
      </vt:variant>
      <vt:variant>
        <vt:i4>5</vt:i4>
      </vt:variant>
    </vt:vector>
  </HeadingPairs>
  <TitlesOfParts>
    <vt:vector size="26" baseType="lpstr">
      <vt:lpstr>Resumen</vt:lpstr>
      <vt:lpstr>Recursos Humanos</vt:lpstr>
      <vt:lpstr>Recursos fisicos y otros</vt:lpstr>
      <vt:lpstr>Compras HW y SW </vt:lpstr>
      <vt:lpstr>Recursos solicitados</vt:lpstr>
      <vt:lpstr>Estimados de Viáticos</vt:lpstr>
      <vt:lpstr>Seguros</vt:lpstr>
      <vt:lpstr>Impuestos</vt:lpstr>
      <vt:lpstr>Supuestos</vt:lpstr>
      <vt:lpstr>Lista de chequeo para revisores</vt:lpstr>
      <vt:lpstr>Parametros</vt:lpstr>
      <vt:lpstr>Soporte de estimados de tiempos</vt:lpstr>
      <vt:lpstr>Flujo de Caja Estimado</vt:lpstr>
      <vt:lpstr>Factor Prestacional </vt:lpstr>
      <vt:lpstr>Perfiles</vt:lpstr>
      <vt:lpstr>Notas</vt:lpstr>
      <vt:lpstr>Estimación Distribución</vt:lpstr>
      <vt:lpstr>Riesgo CITI</vt:lpstr>
      <vt:lpstr>doc fsw</vt:lpstr>
      <vt:lpstr>Riesgo ICETEX</vt:lpstr>
      <vt:lpstr>PERFILES Referencia (2)</vt:lpstr>
      <vt:lpstr>ANALISTA_PROGRAMADOR_SR.</vt:lpstr>
      <vt:lpstr>Horas_al_mes</vt:lpstr>
      <vt:lpstr>multiplicador</vt:lpstr>
      <vt:lpstr>precioDuración</vt:lpstr>
      <vt:lpstr>PricingType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HWO</dc:creator>
  <cp:keywords>costos</cp:keywords>
  <cp:lastModifiedBy>Harry Wong</cp:lastModifiedBy>
  <dcterms:created xsi:type="dcterms:W3CDTF">2010-06-22T20:42:28Z</dcterms:created>
  <dcterms:modified xsi:type="dcterms:W3CDTF">2016-12-01T14:45:11Z</dcterms:modified>
</cp:coreProperties>
</file>