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GA\TOP\Finance\Cash Flow\"/>
    </mc:Choice>
  </mc:AlternateContent>
  <xr:revisionPtr revIDLastSave="0" documentId="13_ncr:1_{ABB91F73-056B-49B2-9B5B-D46B094F80AE}" xr6:coauthVersionLast="47" xr6:coauthVersionMax="47" xr10:uidLastSave="{00000000-0000-0000-0000-000000000000}"/>
  <bookViews>
    <workbookView xWindow="-120" yWindow="-120" windowWidth="29040" windowHeight="15720" xr2:uid="{4691B0D9-969A-4A7C-8756-E0D04635A92D}"/>
  </bookViews>
  <sheets>
    <sheet name="Chart" sheetId="18" r:id="rId1"/>
    <sheet name="Tabular-" sheetId="13" state="hidden" r:id="rId2"/>
    <sheet name="Tabular+" sheetId="20" state="hidden" r:id="rId3"/>
    <sheet name="+" sheetId="19" r:id="rId4"/>
    <sheet name="-" sheetId="1" r:id="rId5"/>
    <sheet name="Data" sheetId="2" state="hidden" r:id="rId6"/>
  </sheets>
  <definedNames>
    <definedName name="ExternalData_1" localSheetId="2" hidden="1">'Tabular+'!$A$1:$D$54</definedName>
    <definedName name="ExternalData_2" localSheetId="1" hidden="1">'Tabular-'!$A$1:$D$2</definedName>
    <definedName name="ExternalData_7" localSheetId="0" hidden="1">Chart!$AC$1:$AG$55</definedName>
    <definedName name="L_InputGroup">#REF!</definedName>
    <definedName name="L_OuputGroup">#REF!</definedName>
    <definedName name="P_LogicalValue">Data!$B$3</definedName>
    <definedName name="_xlnm.Print_Area" localSheetId="0">Chart!$A$1:$Y$37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AH2" i="18"/>
  <c r="AH3" i="18" s="1"/>
  <c r="AH4" i="18" s="1"/>
  <c r="AH5" i="18" s="1"/>
  <c r="AH6" i="18" s="1"/>
  <c r="AH7" i="18" s="1"/>
  <c r="AH8" i="18" s="1"/>
  <c r="AH9" i="18" s="1"/>
  <c r="AH10" i="18" s="1"/>
  <c r="AH11" i="18" s="1"/>
  <c r="AH12" i="18" s="1"/>
  <c r="AH13" i="18" s="1"/>
  <c r="AH14" i="18" s="1"/>
  <c r="AH15" i="18" s="1"/>
  <c r="AH16" i="18" s="1"/>
  <c r="AH17" i="18" s="1"/>
  <c r="AH18" i="18" s="1"/>
  <c r="AH19" i="18" s="1"/>
  <c r="AH20" i="18" s="1"/>
  <c r="AH21" i="18" s="1"/>
  <c r="AH22" i="18" s="1"/>
  <c r="AH23" i="18" s="1"/>
  <c r="AH24" i="18" s="1"/>
  <c r="AH25" i="18" s="1"/>
  <c r="AH26" i="18" s="1"/>
  <c r="AH27" i="18" s="1"/>
  <c r="AH28" i="18" s="1"/>
  <c r="AH29" i="18" s="1"/>
  <c r="AH30" i="18" s="1"/>
  <c r="AH31" i="18" s="1"/>
  <c r="AH32" i="18" s="1"/>
  <c r="AH33" i="18" s="1"/>
  <c r="AH34" i="18" s="1"/>
  <c r="AH35" i="18" s="1"/>
  <c r="AH36" i="18" s="1"/>
  <c r="AH37" i="18" s="1"/>
  <c r="AH38" i="18" s="1"/>
  <c r="AH39" i="18" s="1"/>
  <c r="AH40" i="18" s="1"/>
  <c r="AH41" i="18" s="1"/>
  <c r="AH42" i="18" s="1"/>
  <c r="AH43" i="18" s="1"/>
  <c r="AH44" i="18" s="1"/>
  <c r="AH45" i="18" s="1"/>
  <c r="AH46" i="18" s="1"/>
  <c r="AH47" i="18" s="1"/>
  <c r="AH48" i="18" s="1"/>
  <c r="AH49" i="18" s="1"/>
  <c r="AH50" i="18" s="1"/>
  <c r="AH51" i="18" s="1"/>
  <c r="AH52" i="18" s="1"/>
  <c r="AH53" i="18" s="1"/>
  <c r="AH54" i="18" s="1"/>
  <c r="AH55" i="18" s="1"/>
  <c r="C4" i="1" l="1"/>
  <c r="I4" i="1"/>
  <c r="I5" i="1" s="1"/>
  <c r="N4" i="1"/>
  <c r="T4" i="1"/>
  <c r="T5" i="1" s="1"/>
  <c r="Y4" i="1"/>
  <c r="AE4" i="1"/>
  <c r="AE5" i="1" s="1"/>
  <c r="AJ4" i="1"/>
  <c r="AO4" i="1"/>
  <c r="AU4" i="1"/>
  <c r="AU5" i="1" s="1"/>
  <c r="AZ4" i="1"/>
  <c r="BE4" i="1"/>
  <c r="BJ4" i="1"/>
  <c r="BJ5" i="1" s="1"/>
  <c r="C4" i="19"/>
  <c r="I4" i="19"/>
  <c r="I5" i="19" s="1"/>
  <c r="N4" i="19"/>
  <c r="N5" i="19" s="1"/>
  <c r="T4" i="19"/>
  <c r="T5" i="19" s="1"/>
  <c r="Y4" i="19"/>
  <c r="AE4" i="19"/>
  <c r="AE5" i="19" s="1"/>
  <c r="AJ4" i="19"/>
  <c r="AJ5" i="19" s="1"/>
  <c r="AO4" i="19"/>
  <c r="AO5" i="19" s="1"/>
  <c r="AU4" i="19"/>
  <c r="AZ4" i="19"/>
  <c r="AZ5" i="19" s="1"/>
  <c r="BE4" i="19"/>
  <c r="BE5" i="19" s="1"/>
  <c r="BJ4" i="19"/>
  <c r="BO5" i="1"/>
  <c r="BN5" i="1"/>
  <c r="BM5" i="1"/>
  <c r="BL5" i="1"/>
  <c r="BK5" i="1"/>
  <c r="BI5" i="1"/>
  <c r="BH5" i="1"/>
  <c r="BG5" i="1"/>
  <c r="BF5" i="1"/>
  <c r="BD5" i="1"/>
  <c r="BC5" i="1"/>
  <c r="BB5" i="1"/>
  <c r="BA5" i="1"/>
  <c r="AY5" i="1"/>
  <c r="AX5" i="1"/>
  <c r="AW5" i="1"/>
  <c r="AV5" i="1"/>
  <c r="AT5" i="1"/>
  <c r="AS5" i="1"/>
  <c r="AR5" i="1"/>
  <c r="AQ5" i="1"/>
  <c r="AP5" i="1"/>
  <c r="AN5" i="1"/>
  <c r="AM5" i="1"/>
  <c r="AL5" i="1"/>
  <c r="AK5" i="1"/>
  <c r="AI5" i="1"/>
  <c r="AH5" i="1"/>
  <c r="AG5" i="1"/>
  <c r="AF5" i="1"/>
  <c r="AD5" i="1"/>
  <c r="AC5" i="1"/>
  <c r="AB5" i="1"/>
  <c r="AA5" i="1"/>
  <c r="Z5" i="1"/>
  <c r="X5" i="1"/>
  <c r="W5" i="1"/>
  <c r="V5" i="1"/>
  <c r="U5" i="1"/>
  <c r="S5" i="1"/>
  <c r="R5" i="1"/>
  <c r="Q5" i="1"/>
  <c r="P5" i="1"/>
  <c r="O5" i="1"/>
  <c r="M5" i="1"/>
  <c r="L5" i="1"/>
  <c r="K5" i="1"/>
  <c r="J5" i="1"/>
  <c r="H5" i="1"/>
  <c r="G5" i="1"/>
  <c r="F5" i="1"/>
  <c r="E5" i="1"/>
  <c r="D5" i="1"/>
  <c r="BO5" i="19"/>
  <c r="BN5" i="19"/>
  <c r="BM5" i="19"/>
  <c r="BL5" i="19"/>
  <c r="BK5" i="19"/>
  <c r="BI5" i="19"/>
  <c r="BH5" i="19"/>
  <c r="BG5" i="19"/>
  <c r="BF5" i="19"/>
  <c r="BD5" i="19"/>
  <c r="BC5" i="19"/>
  <c r="BB5" i="19"/>
  <c r="BA5" i="19"/>
  <c r="AY5" i="19"/>
  <c r="AX5" i="19"/>
  <c r="AW5" i="19"/>
  <c r="AV5" i="19"/>
  <c r="AT5" i="19"/>
  <c r="AS5" i="19"/>
  <c r="AR5" i="19"/>
  <c r="AQ5" i="19"/>
  <c r="AP5" i="19"/>
  <c r="AN5" i="19"/>
  <c r="AM5" i="19"/>
  <c r="AL5" i="19"/>
  <c r="AK5" i="19"/>
  <c r="AI5" i="19"/>
  <c r="AH5" i="19"/>
  <c r="AG5" i="19"/>
  <c r="AF5" i="19"/>
  <c r="AD5" i="19"/>
  <c r="AC5" i="19"/>
  <c r="AB5" i="19"/>
  <c r="AA5" i="19"/>
  <c r="Z5" i="19"/>
  <c r="X5" i="19"/>
  <c r="W5" i="19"/>
  <c r="V5" i="19"/>
  <c r="U5" i="19"/>
  <c r="S5" i="19"/>
  <c r="R5" i="19"/>
  <c r="Q5" i="19"/>
  <c r="P5" i="19"/>
  <c r="O5" i="19"/>
  <c r="M5" i="19"/>
  <c r="L5" i="19"/>
  <c r="K5" i="19"/>
  <c r="J5" i="19"/>
  <c r="H5" i="19"/>
  <c r="G5" i="19"/>
  <c r="F5" i="19"/>
  <c r="E5" i="19"/>
  <c r="D5" i="19"/>
  <c r="B4" i="1" l="1"/>
  <c r="B5" i="1" s="1"/>
  <c r="N5" i="1"/>
  <c r="B4" i="19"/>
  <c r="B5" i="19" s="1"/>
  <c r="BJ5" i="19"/>
  <c r="Y5" i="19"/>
  <c r="AU5" i="19"/>
  <c r="AJ5" i="1"/>
  <c r="AO5" i="1"/>
  <c r="Y5" i="1"/>
  <c r="AZ5" i="1"/>
  <c r="BE5" i="1"/>
  <c r="C5" i="1"/>
  <c r="C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1660C-930A-4FCB-A107-6C01C14E351F}" keepAlive="1" name="Query - -" description="Connection to the '-' query in the workbook." type="5" refreshedVersion="8" background="1" saveData="1">
    <dbPr connection="Provider=Microsoft.Mashup.OleDb.1;Data Source=$Workbook$;Location=-;Extended Properties=&quot;&quot;" command="SELECT * FROM [-]"/>
  </connection>
  <connection id="2" xr16:uid="{F98690D2-6757-4634-8012-5BA0AC6C082F}" keepAlive="1" name="Query - +" description="Connection to the '+' query in the workbook." type="5" refreshedVersion="0" background="1" saveData="1">
    <dbPr connection="Provider=Microsoft.Mashup.OleDb.1;Data Source=$Workbook$;Location=+;Extended Properties=&quot;&quot;" command="SELECT * FROM [+]"/>
  </connection>
  <connection id="3" xr16:uid="{9EC66411-86AE-4560-BEF8-403D1111EB39}" keepAlive="1" name="Query - Conclusion" description="Connection to the 'Conclusion' query in the workbook." type="5" refreshedVersion="8" background="1" saveData="1">
    <dbPr connection="Provider=Microsoft.Mashup.OleDb.1;Data Source=$Workbook$;Location=Conclusion;Extended Properties=&quot;&quot;" command="SELECT * FROM [Conclusion]"/>
  </connection>
  <connection id="4" xr16:uid="{CCCCF8E6-FF5D-4DCB-AB93-F940EC297D14}" keepAlive="1" name="Query - Tabular-(1)" description="Connection to the 'Tabular-' query in the workbook." type="5" refreshedVersion="8" background="1" saveData="1">
    <dbPr connection="Provider=Microsoft.Mashup.OleDb.1;Data Source=$Workbook$;Location=Tabular-;Extended Properties=&quot;&quot;" command="SELECT * FROM [Tabular-]"/>
  </connection>
  <connection id="5" xr16:uid="{C52CE7EA-C0EC-4D7E-B331-B3140C7D4EF9}" keepAlive="1" name="Query - Tabular+" description="Connection to the 'Tabular+' query in the workbook." type="5" refreshedVersion="8" background="1" saveData="1">
    <dbPr connection="Provider=Microsoft.Mashup.OleDb.1;Data Source=$Workbook$;Location=Tabular+;Extended Properties=&quot;&quot;" command="SELECT * FROM [Tabular+]"/>
  </connection>
</connections>
</file>

<file path=xl/sharedStrings.xml><?xml version="1.0" encoding="utf-8"?>
<sst xmlns="http://schemas.openxmlformats.org/spreadsheetml/2006/main" count="468" uniqueCount="209">
  <si>
    <t>Title</t>
  </si>
  <si>
    <t>*</t>
  </si>
  <si>
    <t>Logical Value:</t>
  </si>
  <si>
    <t>Week</t>
  </si>
  <si>
    <t>Amount</t>
  </si>
  <si>
    <t>Parameter</t>
  </si>
  <si>
    <t>From</t>
  </si>
  <si>
    <t>To</t>
  </si>
  <si>
    <t>1 فروردین</t>
  </si>
  <si>
    <t>4 فروردین</t>
  </si>
  <si>
    <t>5 فروردین</t>
  </si>
  <si>
    <t>11 فروردین</t>
  </si>
  <si>
    <t>12 فروردین</t>
  </si>
  <si>
    <t>18 فروردین</t>
  </si>
  <si>
    <t>19 فروردین</t>
  </si>
  <si>
    <t>25 فروردین</t>
  </si>
  <si>
    <t>فروردین</t>
  </si>
  <si>
    <t>| 11 | 10 | 09 | 08 | 07 | 06 | 05</t>
  </si>
  <si>
    <t>| 25 | 24 | 23 | 22 | 21 | 20 | 19</t>
  </si>
  <si>
    <t>| 18 | 17 | 16 | 15 | 14 | 13 | 12</t>
  </si>
  <si>
    <t>| 01 | 31 | 20 | 29 | 28 | 27 | 26</t>
  </si>
  <si>
    <t>اردیبهشت</t>
  </si>
  <si>
    <t>Summary 01</t>
  </si>
  <si>
    <t>Summary 02</t>
  </si>
  <si>
    <t>w12</t>
  </si>
  <si>
    <t>w24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</si>
  <si>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</si>
  <si>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</si>
  <si>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</si>
  <si>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</si>
  <si>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</si>
  <si>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</si>
  <si>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</si>
  <si>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</si>
  <si>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</si>
  <si>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</si>
  <si>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Summary 03</t>
  </si>
  <si>
    <t>Summary 04</t>
  </si>
  <si>
    <t>Summary 05</t>
  </si>
  <si>
    <t>Summary 06</t>
  </si>
  <si>
    <t>Summary 07</t>
  </si>
  <si>
    <t>Summary 08</t>
  </si>
  <si>
    <t>Summary 09</t>
  </si>
  <si>
    <t>Summary 10</t>
  </si>
  <si>
    <t>Summary 11</t>
  </si>
  <si>
    <t>Summary 12</t>
  </si>
  <si>
    <t>w27</t>
  </si>
  <si>
    <t>w10</t>
  </si>
  <si>
    <t>w11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</si>
  <si>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</si>
  <si>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</si>
  <si>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</si>
  <si>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</si>
  <si>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</si>
  <si>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</si>
  <si>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</si>
  <si>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</si>
  <si>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</si>
  <si>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</si>
  <si>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</si>
  <si>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w25</t>
  </si>
  <si>
    <t>w26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</si>
  <si>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</si>
  <si>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</si>
  <si>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</si>
  <si>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</si>
  <si>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</si>
  <si>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</si>
  <si>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</si>
  <si>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</si>
  <si>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</si>
  <si>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</si>
  <si>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</si>
  <si>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</si>
  <si>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</si>
  <si>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</si>
  <si>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</si>
  <si>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</si>
  <si>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</si>
  <si>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</si>
  <si>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</si>
  <si>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</si>
  <si>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</si>
  <si>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</si>
  <si>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</si>
  <si>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</si>
  <si>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</si>
  <si>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</si>
  <si>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</si>
  <si>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</si>
  <si>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</si>
  <si>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</si>
  <si>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</si>
  <si>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</si>
  <si>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</si>
  <si>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</si>
  <si>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w12'</t>
  </si>
  <si>
    <t>| 08 | 07 | 06 | 05 | 04 | 03 | 02</t>
  </si>
  <si>
    <t>| 15 | 14 | 13 | 12 | 11 | 10 | 09</t>
  </si>
  <si>
    <t>| 22 | 21 | 20 | 19 | 18 | 17 | 16</t>
  </si>
  <si>
    <t>| 29 | 28 | 27 | 26 | 25 | 24 | 23</t>
  </si>
  <si>
    <t>| 05 | 04 | 03 | 02 | 01 | 31 | 30</t>
  </si>
  <si>
    <t>| 12 | 11 | 10 | 09 | 08 | 07 | 06</t>
  </si>
  <si>
    <t>| 19 | 18 | 17 | 16 | 15 | 14 | 13</t>
  </si>
  <si>
    <t>| 26 | 25 | 24 | 23 | 22 | 21 | 20</t>
  </si>
  <si>
    <t>| 02 | 01 | 31 | 30 | 29 | 28 | 27</t>
  </si>
  <si>
    <t>| 09 | 08 | 07 | 06 | 05 | 04 | 03</t>
  </si>
  <si>
    <t xml:space="preserve">| 16 | 15 | 14 | 13 | 12 | 11 | 10 </t>
  </si>
  <si>
    <t xml:space="preserve">| 23 | 22 | 21 | 20 | 19 | 18 | 17 </t>
  </si>
  <si>
    <t xml:space="preserve">| 30 | 29 | 28 | 27 | 26 | 25 | 24 </t>
  </si>
  <si>
    <t xml:space="preserve">| 06 | 05 | 04 | 03 | 02 | 01 | 31 </t>
  </si>
  <si>
    <t xml:space="preserve">| 13 | 12 | 11 | 10 | 09 | 08 | 07 </t>
  </si>
  <si>
    <t xml:space="preserve">| 20 | 19 | 18 | 17 | 16 | 15 | 14 </t>
  </si>
  <si>
    <t xml:space="preserve">| 27 | 26 | 25 | 24 | 23 | 22 | 21 </t>
  </si>
  <si>
    <t xml:space="preserve">| 03 | 02 | 01 | 31 | 30 | 29 | 28 </t>
  </si>
  <si>
    <t>| 10 | 09 | 08 | 07 | 06 | 05 | 04</t>
  </si>
  <si>
    <t xml:space="preserve">| 17 | 16 | 15 | 14 | 13 | 12 | 11 </t>
  </si>
  <si>
    <t xml:space="preserve">| 31 | 30 | 29 | 28 | 27 | 26 | 25 </t>
  </si>
  <si>
    <t xml:space="preserve">| 24 | 23 | 22 | 21 | 20 | 19 | 18 </t>
  </si>
  <si>
    <t xml:space="preserve">| 07 | 06 | 05 | 04 | 03 | 02 | 01 </t>
  </si>
  <si>
    <t xml:space="preserve">| 14 | 13 | 12 | 11 | 10 | 09 | 08 </t>
  </si>
  <si>
    <t xml:space="preserve">| 21 | 20 | 19 | 18 | 17 | 16 | 15 </t>
  </si>
  <si>
    <t xml:space="preserve">| 28 | 27 | 26 | 25 | 24 | 23 | 22 </t>
  </si>
  <si>
    <t xml:space="preserve">| 05 | 04 | 03 | 02 | 01 | 30 | 29 </t>
  </si>
  <si>
    <t xml:space="preserve">| 12 | 11 | 10 | 09 | 08 | 07 | 06 </t>
  </si>
  <si>
    <t xml:space="preserve">| 19 | 18 | 17 | 16 | 15 | 14 | 13 </t>
  </si>
  <si>
    <t xml:space="preserve">| 26 | 25 | 24 | 23 | 22 | 21 | 20 </t>
  </si>
  <si>
    <t xml:space="preserve">| 03 | 02 | 01 | 30 | 29 | 28 | 27 </t>
  </si>
  <si>
    <t xml:space="preserve">| 10 | 09 | 08 | 07 | 06 | 05 | 04 </t>
  </si>
  <si>
    <t xml:space="preserve">| 01 | 30 | 29 | 28 | 27 | 26 | 25 </t>
  </si>
  <si>
    <t xml:space="preserve">| 08 | 07 | 06 | 05 | 04 | 03 | 02 </t>
  </si>
  <si>
    <t xml:space="preserve">| 15 | 14 | 13 | 12 | 11 | 10 | 09 </t>
  </si>
  <si>
    <t xml:space="preserve">| 22 | 21 | 20 | 19 | 18 | 17 | 16 </t>
  </si>
  <si>
    <t xml:space="preserve">| 29 | 28 | 27 | 26 | 25 | 24 | 23 </t>
  </si>
  <si>
    <t xml:space="preserve">| 06 | 05 | 04 | 03 | 02 | 01 | 30 </t>
  </si>
  <si>
    <t xml:space="preserve">| 05 | 04 | 03 | 02 | 01 | 29 | 28 </t>
  </si>
  <si>
    <t xml:space="preserve">| 29 | 28 | 27 </t>
  </si>
  <si>
    <t xml:space="preserve">| 04 | 03 | 02 | 01 </t>
  </si>
  <si>
    <t>WeekNo</t>
  </si>
  <si>
    <t>15</t>
  </si>
  <si>
    <t>31</t>
  </si>
  <si>
    <t>22</t>
  </si>
  <si>
    <t>20</t>
  </si>
  <si>
    <t>11</t>
  </si>
  <si>
    <t>13</t>
  </si>
  <si>
    <t>Grand Total</t>
  </si>
  <si>
    <t>36</t>
  </si>
  <si>
    <t>41</t>
  </si>
  <si>
    <t>Amount(MT)</t>
  </si>
  <si>
    <t>50</t>
  </si>
  <si>
    <t>12</t>
  </si>
  <si>
    <t>14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</si>
  <si>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</si>
  <si>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</si>
  <si>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</si>
  <si>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</si>
  <si>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</si>
  <si>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</si>
  <si>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</si>
  <si>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</si>
  <si>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</si>
  <si>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</si>
  <si>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</si>
  <si>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</si>
  <si>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</si>
  <si>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</si>
  <si>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</si>
  <si>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</si>
  <si>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</si>
  <si>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</si>
  <si>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</si>
  <si>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</si>
  <si>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</si>
  <si>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</si>
  <si>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</si>
  <si>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</si>
  <si>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</si>
  <si>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</si>
  <si>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</si>
  <si>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</si>
  <si>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</si>
  <si>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</si>
  <si>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</si>
  <si>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</si>
  <si>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</si>
  <si>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</si>
  <si>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</si>
  <si>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</si>
  <si>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</si>
  <si>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</si>
  <si>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</si>
  <si>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</si>
  <si>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</si>
  <si>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12'</t>
  </si>
  <si>
    <t>ID</t>
  </si>
  <si>
    <t>WeekID</t>
  </si>
  <si>
    <t>PAY</t>
  </si>
  <si>
    <t>Receive</t>
  </si>
  <si>
    <t>0</t>
  </si>
  <si>
    <t xml:space="preserve"> </t>
  </si>
  <si>
    <t>Description</t>
  </si>
  <si>
    <t>1. تغییر رنگ نمودار بالانس
2. تغییر نام عناوین نمودارها
3. اضافه کردن چهار مورد به لیست گروه های پرداختی ها</t>
  </si>
  <si>
    <t>Changes History</t>
  </si>
  <si>
    <t>برطرف کردن باگ هفته 52</t>
  </si>
  <si>
    <t>2 Light</t>
  </si>
  <si>
    <t>in</t>
  </si>
  <si>
    <t>out</t>
  </si>
  <si>
    <t xml:space="preserve"> Total</t>
  </si>
  <si>
    <t>1. حذف  Conditional Formating  ها
2. حذف مفهوم هزینه ثابت و متغیر
3. حذف گروهای هزینه و درآمد
4. بازنویسی کوئری‌ها برای  ساختار جدید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</si>
</sst>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_-&quot;ريال&quot;_ ;_ * #,##0\-&quot;ريال&quot;_ ;_ * &quot;-&quot;_-&quot;ريال&quot;_ ;_ @_ "/>
    <numFmt numFmtId="165" formatCode="_ * #,##0.00_-_ ;_ * #,##0.00\-_ ;_ * &quot;-&quot;??_-_ ;_ @_ "/>
    <numFmt numFmtId="166" formatCode="_ * #,##0_-_ ;_ * #,##0\-_ ;_ * &quot;-&quot;??_-_ ;_ @_ "/>
    <numFmt numFmtId="167" formatCode="_ * #,##0_-\م\ی\ل\ی\و\ن\ \ت\و\م\ا\ن_ ;_ * #,##0\-\م\ی\ل\ی\و\ن\ \ت\و\م\ا\ن_ ;_ * &quot;-&quot;_-\م\ی\ل\ی\و\ن\ \ت\و\م\ا\ن_ ;_ @_ "/>
    <numFmt numFmtId="168" formatCode="_ * #,##0_-&quot;ريال&quot;_ ;_ * #,##0\-&quot;ريال&quot;_ ;_ * &quot;-&quot;??_-&quot;ريال&quot;_ ;_ @_ "/>
  </numFmts>
  <fonts count="36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20"/>
      <color theme="0" tint="-0.499984740745262"/>
      <name val="Mutant Academy BB"/>
    </font>
    <font>
      <sz val="40"/>
      <color theme="0" tint="-0.499984740745262"/>
      <name val="Mutant Academy BB"/>
    </font>
    <font>
      <sz val="10"/>
      <color theme="1"/>
      <name val="Samim"/>
      <family val="2"/>
    </font>
    <font>
      <sz val="10"/>
      <color theme="1" tint="0.249977111117893"/>
      <name val="Samim"/>
      <family val="2"/>
    </font>
    <font>
      <sz val="20"/>
      <color theme="1" tint="0.249977111117893"/>
      <name val="Fira Code Medium"/>
      <family val="3"/>
    </font>
    <font>
      <b/>
      <sz val="20"/>
      <color theme="1" tint="0.249977111117893"/>
      <name val="Fira Code Medium"/>
      <family val="3"/>
    </font>
    <font>
      <sz val="11"/>
      <color theme="1" tint="0.249977111117893"/>
      <name val="Arial"/>
      <family val="2"/>
      <charset val="178"/>
      <scheme val="minor"/>
    </font>
    <font>
      <sz val="11"/>
      <color theme="1" tint="0.249977111117893"/>
      <name val="Fira Code Medium"/>
      <family val="3"/>
    </font>
    <font>
      <sz val="11"/>
      <color theme="1"/>
      <name val="Courier New"/>
      <family val="3"/>
    </font>
    <font>
      <sz val="20"/>
      <color theme="0" tint="-4.9989318521683403E-2"/>
      <name val="Samim"/>
      <family val="2"/>
      <charset val="178"/>
    </font>
    <font>
      <sz val="11"/>
      <name val="Arial"/>
      <family val="2"/>
      <charset val="178"/>
      <scheme val="minor"/>
    </font>
    <font>
      <sz val="9"/>
      <color theme="1"/>
      <name val="Samim"/>
      <family val="2"/>
    </font>
    <font>
      <sz val="11"/>
      <color theme="0" tint="-4.9989318521683403E-2"/>
      <name val="Arial"/>
      <family val="2"/>
      <charset val="178"/>
      <scheme val="minor"/>
    </font>
    <font>
      <sz val="11"/>
      <color theme="0" tint="-0.14999847407452621"/>
      <name val="Arial"/>
      <family val="2"/>
      <charset val="178"/>
      <scheme val="minor"/>
    </font>
    <font>
      <sz val="10"/>
      <color theme="1" tint="0.249977111117893"/>
      <name val="Fira Code Medium"/>
      <family val="3"/>
      <charset val="178"/>
    </font>
    <font>
      <sz val="9"/>
      <color theme="1" tint="0.249977111117893"/>
      <name val="Samim"/>
      <family val="2"/>
      <charset val="178"/>
    </font>
    <font>
      <sz val="10"/>
      <color theme="1" tint="0.249977111117893"/>
      <name val="Fira Code"/>
      <family val="3"/>
      <charset val="178"/>
    </font>
    <font>
      <sz val="10"/>
      <color theme="0"/>
      <name val="Fira Code Medium"/>
      <family val="3"/>
      <charset val="178"/>
    </font>
    <font>
      <sz val="10"/>
      <color theme="1"/>
      <name val="Fira Code"/>
      <family val="3"/>
      <charset val="178"/>
    </font>
    <font>
      <sz val="28"/>
      <color theme="1" tint="0.34998626667073579"/>
      <name val="Mutant Academy BB"/>
    </font>
    <font>
      <sz val="11"/>
      <color theme="0" tint="-0.249977111117893"/>
      <name val="Fira Code Medium"/>
      <family val="3"/>
    </font>
    <font>
      <sz val="20"/>
      <color rgb="FFFF9999"/>
      <name val="Courier New"/>
      <family val="3"/>
    </font>
    <font>
      <sz val="16"/>
      <color rgb="FFFF9999"/>
      <name val="Courier New"/>
      <family val="3"/>
    </font>
    <font>
      <sz val="11"/>
      <color rgb="FFFF9999"/>
      <name val="Arial"/>
      <family val="2"/>
      <charset val="178"/>
      <scheme val="minor"/>
    </font>
    <font>
      <sz val="11"/>
      <color rgb="FFFF7C80"/>
      <name val="Arial"/>
      <family val="2"/>
      <charset val="178"/>
      <scheme val="minor"/>
    </font>
    <font>
      <sz val="9"/>
      <color rgb="FFFF7C80"/>
      <name val="Fira Code Medium"/>
      <family val="3"/>
      <charset val="178"/>
    </font>
    <font>
      <sz val="9"/>
      <color rgb="FFFF7C80"/>
      <name val="Fira Code Medium"/>
      <family val="3"/>
    </font>
    <font>
      <sz val="11"/>
      <color rgb="FFC4D4CB"/>
      <name val="Arial"/>
      <family val="2"/>
      <charset val="178"/>
      <scheme val="minor"/>
    </font>
    <font>
      <sz val="9"/>
      <color rgb="FF96A8A2"/>
      <name val="Fira Code Medium"/>
      <family val="3"/>
    </font>
    <font>
      <sz val="11"/>
      <color rgb="FF96A8A2"/>
      <name val="Arial"/>
      <family val="2"/>
      <charset val="178"/>
      <scheme val="minor"/>
    </font>
    <font>
      <sz val="9"/>
      <color rgb="FF96A8A2"/>
      <name val="Fira Code Medium"/>
      <family val="3"/>
      <charset val="178"/>
    </font>
    <font>
      <sz val="20"/>
      <color rgb="FFC4D4CB"/>
      <name val="Courier New"/>
      <family val="3"/>
    </font>
    <font>
      <sz val="16"/>
      <color rgb="FFC4D4CB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4D4CB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F867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7" fillId="2" borderId="0" xfId="0" applyFont="1" applyFill="1"/>
    <xf numFmtId="0" fontId="8" fillId="3" borderId="0" xfId="0" applyFont="1" applyFill="1"/>
    <xf numFmtId="0" fontId="9" fillId="0" borderId="0" xfId="0" applyFont="1" applyAlignment="1">
      <alignment horizontal="center"/>
    </xf>
    <xf numFmtId="166" fontId="10" fillId="0" borderId="0" xfId="1" applyNumberFormat="1" applyFont="1" applyFill="1" applyBorder="1" applyAlignment="1">
      <alignment horizontal="center"/>
    </xf>
    <xf numFmtId="166" fontId="11" fillId="0" borderId="0" xfId="1" applyNumberFormat="1" applyFont="1"/>
    <xf numFmtId="0" fontId="6" fillId="0" borderId="0" xfId="0" applyFont="1" applyAlignment="1">
      <alignment readingOrder="2"/>
    </xf>
    <xf numFmtId="0" fontId="0" fillId="6" borderId="0" xfId="0" applyFill="1"/>
    <xf numFmtId="0" fontId="12" fillId="6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166" fontId="10" fillId="0" borderId="0" xfId="1" applyNumberFormat="1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49" fontId="10" fillId="0" borderId="0" xfId="1" applyNumberFormat="1" applyFont="1" applyFill="1" applyBorder="1" applyAlignment="1">
      <alignment horizontal="center"/>
    </xf>
    <xf numFmtId="49" fontId="1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17" fillId="5" borderId="0" xfId="0" applyNumberFormat="1" applyFont="1" applyFill="1"/>
    <xf numFmtId="49" fontId="18" fillId="0" borderId="0" xfId="0" applyNumberFormat="1" applyFont="1"/>
    <xf numFmtId="168" fontId="17" fillId="0" borderId="0" xfId="0" applyNumberFormat="1" applyFont="1"/>
    <xf numFmtId="164" fontId="19" fillId="0" borderId="0" xfId="0" applyNumberFormat="1" applyFont="1"/>
    <xf numFmtId="164" fontId="19" fillId="0" borderId="0" xfId="0" applyNumberFormat="1" applyFont="1" applyAlignment="1">
      <alignment horizontal="center"/>
    </xf>
    <xf numFmtId="167" fontId="20" fillId="0" borderId="0" xfId="0" applyNumberFormat="1" applyFont="1"/>
    <xf numFmtId="164" fontId="21" fillId="0" borderId="0" xfId="0" applyNumberFormat="1" applyFont="1"/>
    <xf numFmtId="0" fontId="16" fillId="0" borderId="0" xfId="0" applyFont="1"/>
    <xf numFmtId="0" fontId="22" fillId="0" borderId="0" xfId="0" applyFont="1" applyAlignment="1">
      <alignment horizontal="right"/>
    </xf>
    <xf numFmtId="0" fontId="14" fillId="7" borderId="0" xfId="0" applyFont="1" applyFill="1" applyAlignment="1">
      <alignment horizontal="right"/>
    </xf>
    <xf numFmtId="0" fontId="14" fillId="6" borderId="0" xfId="0" applyFont="1" applyFill="1" applyAlignment="1">
      <alignment horizontal="right"/>
    </xf>
    <xf numFmtId="166" fontId="23" fillId="0" borderId="0" xfId="1" applyNumberFormat="1" applyFont="1" applyFill="1" applyBorder="1" applyAlignment="1">
      <alignment horizontal="center"/>
    </xf>
    <xf numFmtId="166" fontId="23" fillId="0" borderId="0" xfId="1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0" fillId="7" borderId="0" xfId="0" applyFill="1"/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/>
    <xf numFmtId="0" fontId="27" fillId="0" borderId="0" xfId="0" applyFont="1"/>
    <xf numFmtId="0" fontId="28" fillId="4" borderId="0" xfId="0" applyFont="1" applyFill="1"/>
    <xf numFmtId="0" fontId="29" fillId="4" borderId="0" xfId="0" applyFont="1" applyFill="1"/>
    <xf numFmtId="0" fontId="29" fillId="4" borderId="0" xfId="0" applyFont="1" applyFill="1" applyAlignment="1">
      <alignment horizontal="right"/>
    </xf>
    <xf numFmtId="0" fontId="30" fillId="0" borderId="0" xfId="0" applyFont="1"/>
    <xf numFmtId="0" fontId="31" fillId="4" borderId="0" xfId="0" applyFont="1" applyFill="1"/>
    <xf numFmtId="0" fontId="31" fillId="4" borderId="0" xfId="0" applyFont="1" applyFill="1" applyAlignment="1">
      <alignment horizontal="right"/>
    </xf>
    <xf numFmtId="0" fontId="32" fillId="0" borderId="0" xfId="0" applyFont="1"/>
    <xf numFmtId="0" fontId="33" fillId="4" borderId="0" xfId="0" applyFont="1" applyFill="1"/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2" fillId="9" borderId="0" xfId="0" applyFont="1" applyFill="1" applyAlignment="1">
      <alignment horizontal="center"/>
    </xf>
    <xf numFmtId="1" fontId="10" fillId="0" borderId="0" xfId="3" applyNumberFormat="1" applyFont="1" applyFill="1" applyAlignment="1">
      <alignment horizontal="center" vertical="center"/>
    </xf>
    <xf numFmtId="49" fontId="6" fillId="0" borderId="0" xfId="0" applyNumberFormat="1" applyFont="1" applyAlignment="1">
      <alignment vertical="center" wrapText="1" readingOrder="2"/>
    </xf>
    <xf numFmtId="49" fontId="6" fillId="0" borderId="0" xfId="0" applyNumberFormat="1" applyFont="1" applyAlignment="1">
      <alignment horizontal="right" vertical="center" wrapText="1" readingOrder="2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</cellXfs>
  <cellStyles count="4">
    <cellStyle name="Comma" xfId="1" builtinId="3"/>
    <cellStyle name="Comma 2" xfId="2" xr:uid="{E9BF5F0B-D63B-49C5-84FC-830AF179FD07}"/>
    <cellStyle name="Normal" xfId="0" builtinId="0"/>
    <cellStyle name="Percent" xfId="3" builtinId="5"/>
  </cellStyles>
  <dxfs count="307"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amim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0" tint="-0.14999847407452621"/>
        <name val="Arial"/>
        <family val="2"/>
        <charset val="178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ami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Fira Code Medium"/>
        <family val="3"/>
        <charset val="178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mi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Fira Code Medium"/>
        <family val="3"/>
        <charset val="178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mim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0" tint="-0.14999847407452621"/>
        <name val="Arial"/>
        <family val="2"/>
        <charset val="178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Samim"/>
        <family val="2"/>
        <scheme val="none"/>
      </font>
      <numFmt numFmtId="30" formatCode="@"/>
      <alignment horizontal="general" vertical="center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Fira Code Medium"/>
        <family val="3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Samim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Samim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Fira Code Medium"/>
        <family val="3"/>
        <scheme val="none"/>
      </font>
      <numFmt numFmtId="166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Fira Code Medium"/>
        <family val="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Arial"/>
        <family val="2"/>
        <charset val="17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Samim"/>
        <family val="2"/>
        <charset val="178"/>
        <scheme val="none"/>
      </font>
      <numFmt numFmtId="30" formatCode="@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249977111117893"/>
        <charset val="178"/>
      </font>
    </dxf>
    <dxf>
      <font>
        <strike val="0"/>
        <outline val="0"/>
        <shadow val="0"/>
        <u val="none"/>
        <vertAlign val="baseline"/>
        <color rgb="FFFF9999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Fira Code"/>
        <family val="3"/>
        <charset val="178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Fira Code Medium"/>
        <family val="3"/>
        <charset val="178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Samim"/>
        <family val="2"/>
        <charset val="178"/>
        <scheme val="none"/>
      </font>
      <numFmt numFmtId="30" formatCode="@"/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charset val="178"/>
      </font>
    </dxf>
    <dxf>
      <font>
        <strike val="0"/>
        <outline val="0"/>
        <shadow val="0"/>
        <u val="none"/>
        <vertAlign val="baseline"/>
        <color rgb="FFC4D4CB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amim"/>
        <family val="2"/>
        <scheme val="none"/>
      </font>
      <fill>
        <patternFill patternType="solid">
          <fgColor indexed="64"/>
          <bgColor rgb="FFC4D4CB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amim"/>
        <family val="2"/>
        <scheme val="none"/>
      </font>
      <fill>
        <patternFill patternType="solid">
          <fgColor indexed="64"/>
          <bgColor rgb="FFFF9999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14999847407452621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>
          <bgColor theme="1" tint="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Details" pivot="0" count="7" xr9:uid="{6893046F-13DC-4895-B84A-D30F0A6C54E9}">
      <tableStyleElement type="wholeTable" dxfId="306"/>
      <tableStyleElement type="headerRow" dxfId="305"/>
      <tableStyleElement type="totalRow" dxfId="304"/>
      <tableStyleElement type="firstColumn" dxfId="303"/>
      <tableStyleElement type="lastColumn" dxfId="302"/>
      <tableStyleElement type="firstRowStripe" dxfId="301"/>
      <tableStyleElement type="firstColumnStripe" dxfId="300"/>
    </tableStyle>
  </tableStyles>
  <colors>
    <mruColors>
      <color rgb="FFC4D4CB"/>
      <color rgb="FFFF9999"/>
      <color rgb="FF96A8A2"/>
      <color rgb="FF6F867F"/>
      <color rgb="FFFF7C80"/>
      <color rgb="FF99FF99"/>
      <color rgb="FF00CC99"/>
      <color rgb="FF7A0000"/>
      <color rgb="FF0076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rgbClr val="C4D4CB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FF9999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Pay</c:v>
          </c:tx>
          <c:spPr>
            <a:solidFill>
              <a:srgbClr val="FF999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Chart!$AD$2:$AD$55</c:f>
              <c:strCach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01</c:v>
                </c:pt>
                <c:pt idx="42">
                  <c:v>02</c:v>
                </c:pt>
                <c:pt idx="43">
                  <c:v>03</c:v>
                </c:pt>
                <c:pt idx="44">
                  <c:v>04</c:v>
                </c:pt>
                <c:pt idx="45">
                  <c:v>05</c:v>
                </c:pt>
                <c:pt idx="46">
                  <c:v>06</c:v>
                </c:pt>
                <c:pt idx="47">
                  <c:v>07</c:v>
                </c:pt>
                <c:pt idx="48">
                  <c:v>08</c:v>
                </c:pt>
                <c:pt idx="49">
                  <c:v>09</c:v>
                </c:pt>
                <c:pt idx="50">
                  <c:v>10</c:v>
                </c:pt>
                <c:pt idx="51">
                  <c:v>11</c:v>
                </c:pt>
                <c:pt idx="52">
                  <c:v>12'</c:v>
                </c:pt>
              </c:strCache>
            </c:strRef>
          </c:cat>
          <c:val>
            <c:numRef>
              <c:f>Chart!$AF$2:$AF$55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5-4E8E-A57A-3F3BDE0D6D80}"/>
            </c:ext>
          </c:extLst>
        </c:ser>
        <c:ser>
          <c:idx val="2"/>
          <c:order val="1"/>
          <c:tx>
            <c:v>Receive</c:v>
          </c:tx>
          <c:spPr>
            <a:solidFill>
              <a:srgbClr val="C4D4CB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Chart!$AE$2:$AE$55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D41-A4A9-112CDC01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86294047"/>
        <c:axId val="886295967"/>
      </c:barChart>
      <c:lineChart>
        <c:grouping val="standard"/>
        <c:varyColors val="0"/>
        <c:ser>
          <c:idx val="3"/>
          <c:order val="2"/>
          <c:tx>
            <c:v>Balance</c:v>
          </c:tx>
          <c:spPr>
            <a:ln w="25400" cap="rnd">
              <a:gradFill flip="none" rotWithShape="1">
                <a:gsLst>
                  <a:gs pos="25000">
                    <a:schemeClr val="accent6">
                      <a:lumMod val="50000"/>
                      <a:alpha val="50000"/>
                    </a:schemeClr>
                  </a:gs>
                  <a:gs pos="100000">
                    <a:schemeClr val="accent2">
                      <a:lumMod val="50000"/>
                      <a:alpha val="5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Chart!$AH$2:$AH$55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B-43BE-AA2D-7DE33A954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85727</xdr:colOff>
      <xdr:row>0</xdr:row>
      <xdr:rowOff>76199</xdr:rowOff>
    </xdr:from>
    <xdr:to>
      <xdr:col>24</xdr:col>
      <xdr:colOff>638176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8A37-45D0-4044-883F-31AC260C1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9487DF69-AC94-4D49-ACA4-97AFF853D8B2}" autoFormatId="16" applyNumberFormats="0" applyBorderFormats="0" applyFontFormats="0" applyPatternFormats="0" applyAlignmentFormats="0" applyWidthHeightFormats="0">
  <queryTableRefresh nextId="21" unboundColumnsRight="1">
    <queryTableFields count="6">
      <queryTableField id="9" name="WeekID" tableColumnId="1"/>
      <queryTableField id="10" name="WeekNo" tableColumnId="2"/>
      <queryTableField id="17" name="in" tableColumnId="3"/>
      <queryTableField id="18" name="out" tableColumnId="4"/>
      <queryTableField id="20" name=" Total" tableColumnId="6"/>
      <queryTableField id="16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F34D5C7-B23C-444A-A198-3BFE99D439AE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8745F6C-5726-43F9-846B-1DF260212028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875406-37FD-466E-9D53-5D54B5FC8A36}" name="T_Chart" displayName="T_Chart" ref="AC1:AH55" tableType="queryTable" totalsRowShown="0" headerRowDxfId="146" dataDxfId="299">
  <autoFilter ref="AC1:AH55" xr:uid="{ED875406-37FD-466E-9D53-5D54B5FC8A36}"/>
  <tableColumns count="6">
    <tableColumn id="1" xr3:uid="{896B775F-A342-4526-A6AB-C303433EB799}" uniqueName="1" name="WeekID" queryTableFieldId="9"/>
    <tableColumn id="2" xr3:uid="{B896F72C-D8CD-4E28-9110-28972E3E659C}" uniqueName="2" name="WeekNo" queryTableFieldId="10" dataDxfId="6"/>
    <tableColumn id="3" xr3:uid="{86139F3E-6283-4BBD-A3D1-7A7F5CF73327}" uniqueName="3" name="in" queryTableFieldId="17"/>
    <tableColumn id="4" xr3:uid="{14E1383D-99E0-4D9C-974C-F0E9BB0F7F09}" uniqueName="4" name="out" queryTableFieldId="18"/>
    <tableColumn id="6" xr3:uid="{2CE79082-2606-4131-8A12-E366F47F5308}" uniqueName="6" name=" Total" queryTableFieldId="20"/>
    <tableColumn id="7" xr3:uid="{15C91B45-04A0-477C-A763-D95DF3823B3C}" uniqueName="7" name="0" queryTableFieldId="16" dataDxfId="5">
      <calculatedColumnFormula>AH1+T_Chart[[#This Row],[ Total]]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BA7661-AA0B-4937-A830-E7DCD1C74A42}" name="T_TabularPay" displayName="T_TabularPay" ref="A1:E2" tableType="queryTable" insertRow="1" totalsRowShown="0" headerRowDxfId="298">
  <autoFilter ref="A1:E2" xr:uid="{1DBA7661-AA0B-4937-A830-E7DCD1C74A42}"/>
  <tableColumns count="5">
    <tableColumn id="1" xr3:uid="{566CF63E-C136-43AB-B148-BA6C83397392}" uniqueName="1" name="Title" queryTableFieldId="1" dataDxfId="11"/>
    <tableColumn id="3" xr3:uid="{9AAF507D-62DD-4DFC-8C3A-5CA6EB119947}" uniqueName="3" name="WeekNo" queryTableFieldId="3" dataDxfId="10"/>
    <tableColumn id="4" xr3:uid="{ED4599E2-68D4-4AB7-84B3-81EDBBB8A030}" uniqueName="4" name="Amount" queryTableFieldId="4" dataDxfId="9" dataCellStyle="Comma"/>
    <tableColumn id="5" xr3:uid="{212CD5B3-EB92-472E-A4E1-276A303D62C6}" uniqueName="5" name="Amount(MT)" queryTableFieldId="5" dataDxfId="8" dataCellStyle="Comma"/>
    <tableColumn id="7" xr3:uid="{7C8C95FB-7041-494D-8D58-1F19E8C860AD}" uniqueName="7" name="WeekID" queryTableFieldId="7" dataDxfId="7">
      <calculatedColumnFormula>VLOOKUP(T_TabularPay[[#This Row],[WeekNo]],T_Week[],2,0)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2396FA-7207-4AB2-A76B-EB6657CCE17F}" name="T_TabularReceive" displayName="T_TabularReceive" ref="A1:E54" tableType="queryTable" totalsRowShown="0" headerRowDxfId="297">
  <autoFilter ref="A1:E54" xr:uid="{DD2396FA-7207-4AB2-A76B-EB6657CCE17F}"/>
  <tableColumns count="5">
    <tableColumn id="1" xr3:uid="{9DB1C88C-CD77-4ED0-A07C-E2A68AEB06D1}" uniqueName="1" name="Title" queryTableFieldId="1" dataDxfId="4"/>
    <tableColumn id="3" xr3:uid="{A7A89875-7D8A-4ED2-90CB-0A4B66818A54}" uniqueName="3" name="WeekNo" queryTableFieldId="3" dataDxfId="3"/>
    <tableColumn id="4" xr3:uid="{26A0483B-FB05-4BF3-A7DC-F03BF973D24F}" uniqueName="4" name="Amount" queryTableFieldId="4" dataDxfId="2" dataCellStyle="Comma"/>
    <tableColumn id="5" xr3:uid="{A7D30287-FFBA-4B47-B42D-0D860FBEE6C3}" uniqueName="5" name="Amount(MT)" queryTableFieldId="5" dataDxfId="1" dataCellStyle="Comma"/>
    <tableColumn id="6" xr3:uid="{D844CB80-84D6-4E69-932C-BDE922625160}" uniqueName="6" name="WeekID" queryTableFieldId="6" dataDxfId="0">
      <calculatedColumnFormula>VLOOKUP(T_TabularReceive[[#This Row],[WeekNo]],T_Week[],2,0)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B80CA-5978-490E-B8BD-A0229FA21E00}" name="T_Receive" displayName="T_Receive" ref="A3:BO5" totalsRowCount="1" headerRowDxfId="296" dataDxfId="295" totalsRowDxfId="294">
  <autoFilter ref="A3:BO4" xr:uid="{A0697075-3E5A-4E21-8512-460B2B4CECB5}"/>
  <tableColumns count="67">
    <tableColumn id="1" xr3:uid="{98DFC52E-621A-42A3-9A0D-F52AB59B2D79}" name="Title" totalsRowLabel="Grand Total" dataDxfId="293" totalsRowDxfId="145"/>
    <tableColumn id="23" xr3:uid="{345BAB14-6429-4036-B0C8-713644622070}" name="Amount" totalsRowFunction="custom" dataDxfId="292" totalsRowDxfId="144">
      <calculatedColumnFormula>SUM(T_Receive[[#This Row],[Summary 01]],T_Receive[[#This Row],[Summary 02]],T_Receive[[#This Row],[Summary 03]],T_Receive[[#This Row],[Summary 04]],T_Receive[[#This Row],[Summary 05]],T_Receive[[#This Row],[Summary 06]],T_Receive[[#This Row],[Summary 07]],T_Receive[[#This Row],[Summary 08]],T_Receive[[#This Row],[Summary 09]],T_Receive[[#This Row],[Summary 10]],T_Receive[[#This Row],[Summary 11]],T_Receive[[#This Row],[Summary 12]])</calculatedColumnFormula>
      <totalsRowFormula>SUBTOTAL(109,T_Receive[Amount])/10000000</totalsRowFormula>
    </tableColumn>
    <tableColumn id="11" xr3:uid="{F0B2908A-2834-4326-AB32-0EC0AD131B30}" name="Summary 01" totalsRowFunction="sum" dataDxfId="291" totalsRowDxfId="143">
      <calculatedColumnFormula>SUM(T_Receive[[#This Row],[w12]:[w16]])</calculatedColumnFormula>
    </tableColumn>
    <tableColumn id="3" xr3:uid="{06A3F0DD-0D46-4702-8C7C-02DB3AAF2D8D}" name="w12" totalsRowFunction="sum" dataDxfId="290" totalsRowDxfId="142"/>
    <tableColumn id="5" xr3:uid="{F42A4CD3-E2B2-4021-B583-7B1D0D08D55E}" name="w13" totalsRowFunction="sum" dataDxfId="289" totalsRowDxfId="141"/>
    <tableColumn id="7" xr3:uid="{80996075-98A5-439F-9F4D-3EC6864E0838}" name="w14" totalsRowFunction="sum" dataDxfId="288" totalsRowDxfId="140"/>
    <tableColumn id="9" xr3:uid="{C91780E6-F630-4702-AE74-6D09CFF49DB5}" name="w15" totalsRowFunction="sum" dataDxfId="287" totalsRowDxfId="139"/>
    <tableColumn id="15" xr3:uid="{8CFEC083-4A73-4BC4-A101-B4B220051F54}" name="w16" totalsRowFunction="sum" dataDxfId="286" totalsRowDxfId="138"/>
    <tableColumn id="12" xr3:uid="{865B27A5-8177-4CDA-93CF-41187185CD4B}" name="Summary 02" totalsRowFunction="sum" dataDxfId="285" totalsRowDxfId="137">
      <calculatedColumnFormula>SUM(T_Receive[[#This Row],[w17]:[w20]])</calculatedColumnFormula>
    </tableColumn>
    <tableColumn id="13" xr3:uid="{4B3F9BF8-881D-40DF-980D-BE628B7FA40E}" name="w17" totalsRowFunction="sum" dataDxfId="284" totalsRowDxfId="136"/>
    <tableColumn id="17" xr3:uid="{B1C44FF3-F2C9-40A1-B690-BC71C5B310C1}" name="w18" totalsRowFunction="sum" dataDxfId="283" totalsRowDxfId="135"/>
    <tableColumn id="19" xr3:uid="{620DDF9F-DF47-4B33-8A73-5709B5AC3C02}" name="w19" totalsRowFunction="sum" dataDxfId="282" totalsRowDxfId="134"/>
    <tableColumn id="21" xr3:uid="{E797E00D-39AD-4A20-85E0-5A864FA5A0D4}" name="w20" totalsRowFunction="sum" dataDxfId="281" totalsRowDxfId="133"/>
    <tableColumn id="25" xr3:uid="{95D55A7F-8FFC-495F-8A1A-730DBA01B2F2}" name="Summary 03" totalsRowFunction="sum" dataDxfId="280" totalsRowDxfId="132">
      <calculatedColumnFormula>SUM(T_Receive[[#This Row],[w21]:[w25]])</calculatedColumnFormula>
    </tableColumn>
    <tableColumn id="26" xr3:uid="{65495308-E15C-48A2-B2BC-AD878A3C8BF9}" name="w21" totalsRowFunction="sum" dataDxfId="279" totalsRowDxfId="131"/>
    <tableColumn id="28" xr3:uid="{810CDCDC-03B8-464E-A6A4-8C31E90498CF}" name="w22" totalsRowFunction="sum" dataDxfId="278" totalsRowDxfId="130"/>
    <tableColumn id="30" xr3:uid="{34365C62-C602-40F2-9FA9-23DAFC0218AD}" name="w23" totalsRowFunction="sum" dataDxfId="277" totalsRowDxfId="129"/>
    <tableColumn id="32" xr3:uid="{C9A0BAF6-80C2-4607-B8F6-4D5CABB591D1}" name="w24" totalsRowFunction="sum" dataDxfId="276" totalsRowDxfId="128"/>
    <tableColumn id="34" xr3:uid="{33B7D4AC-45B9-4374-A996-448B92A8BBF9}" name="w25" totalsRowFunction="sum" dataDxfId="275" totalsRowDxfId="127"/>
    <tableColumn id="47" xr3:uid="{298E516D-29E9-4E29-93C5-D2457124BDF8}" name="Summary 04" totalsRowFunction="sum" dataDxfId="274" totalsRowDxfId="126">
      <calculatedColumnFormula>SUM(T_Receive[[#This Row],[w26]:[w29]])</calculatedColumnFormula>
    </tableColumn>
    <tableColumn id="48" xr3:uid="{5D1FB83E-8DF4-46E6-9D5A-C2260DB5DF61}" name="w26" totalsRowFunction="sum" dataDxfId="273" totalsRowDxfId="125"/>
    <tableColumn id="50" xr3:uid="{42F9805D-D425-4116-B943-6CE127AC8797}" name="w27" totalsRowFunction="sum" dataDxfId="272" totalsRowDxfId="124"/>
    <tableColumn id="52" xr3:uid="{48C1191C-851B-4DCA-8FD6-632504F10B45}" name="w28" totalsRowFunction="sum" dataDxfId="271" totalsRowDxfId="123"/>
    <tableColumn id="56" xr3:uid="{522CD12F-0AA7-44F1-BA63-74CDF83FC022}" name="w29" totalsRowFunction="sum" dataDxfId="270" totalsRowDxfId="122"/>
    <tableColumn id="58" xr3:uid="{00ADA6D6-D0FF-47D4-9640-EFF726AB5A12}" name="Summary 05" totalsRowFunction="sum" dataDxfId="269" totalsRowDxfId="121">
      <calculatedColumnFormula>SUM(T_Receive[[#This Row],[w30]:[w34]])</calculatedColumnFormula>
    </tableColumn>
    <tableColumn id="59" xr3:uid="{7622AA86-A21A-49CB-8A93-D400993235CD}" name="w30" totalsRowFunction="sum" dataDxfId="268" totalsRowDxfId="120"/>
    <tableColumn id="61" xr3:uid="{D2F600BE-0D31-47E7-A2B7-05229B22AEB9}" name="w31" totalsRowFunction="sum" dataDxfId="267" totalsRowDxfId="119"/>
    <tableColumn id="63" xr3:uid="{3942C588-E876-407C-9B9E-F532C463B773}" name="w32" totalsRowFunction="sum" dataDxfId="266" totalsRowDxfId="118"/>
    <tableColumn id="65" xr3:uid="{E2FFEF3A-B93F-4D80-BA57-DB99570161D3}" name="w33" totalsRowFunction="sum" dataDxfId="265" totalsRowDxfId="117"/>
    <tableColumn id="67" xr3:uid="{E94C0595-7D3B-4615-BB36-689504A5605C}" name="w34" totalsRowFunction="sum" dataDxfId="264" totalsRowDxfId="116"/>
    <tableColumn id="69" xr3:uid="{6A5D9E0A-11CF-4DE1-8279-9FCD93CF2737}" name="Summary 06" totalsRowFunction="sum" dataDxfId="263" totalsRowDxfId="115">
      <calculatedColumnFormula>SUM(T_Receive[[#This Row],[w35]:[w38]])</calculatedColumnFormula>
    </tableColumn>
    <tableColumn id="70" xr3:uid="{93B1FF71-1B55-4924-9CC5-4238AC55428C}" name="w35" totalsRowFunction="sum" dataDxfId="262" totalsRowDxfId="114"/>
    <tableColumn id="72" xr3:uid="{F82DE4CD-CBB2-4346-ACCF-D1FBD633724B}" name="w36" totalsRowFunction="sum" dataDxfId="261" totalsRowDxfId="113"/>
    <tableColumn id="76" xr3:uid="{3B1ADE1D-71F2-4513-92B5-AEDF662C57C6}" name="w37" totalsRowFunction="sum" dataDxfId="260" totalsRowDxfId="112"/>
    <tableColumn id="78" xr3:uid="{D8C10889-93CE-45E2-B966-B7D93D407F07}" name="w38" totalsRowFunction="sum" dataDxfId="259" totalsRowDxfId="111"/>
    <tableColumn id="80" xr3:uid="{68AC65FD-44BF-431B-A8AA-96E1864F1E51}" name="Summary 07" totalsRowFunction="sum" dataDxfId="258" totalsRowDxfId="110">
      <calculatedColumnFormula>SUM(T_Receive[[#This Row],[w39]:[w42]])</calculatedColumnFormula>
    </tableColumn>
    <tableColumn id="81" xr3:uid="{6E411DC2-BE39-4C2C-B0DE-E5ECE49FC1A1}" name="w39" totalsRowFunction="sum" dataDxfId="257" totalsRowDxfId="109"/>
    <tableColumn id="83" xr3:uid="{58F66D12-36E9-4C8D-B951-5151BC8CDF10}" name="w40" totalsRowFunction="sum" dataDxfId="256" totalsRowDxfId="108"/>
    <tableColumn id="85" xr3:uid="{D034A6F5-0489-4601-8E00-5AF5AA4FD2F8}" name="w41" totalsRowFunction="sum" dataDxfId="255" totalsRowDxfId="107"/>
    <tableColumn id="89" xr3:uid="{7E64C5C7-EDFB-4B9F-B744-20A5B94EF9E6}" name="w42" totalsRowFunction="sum" dataDxfId="254" totalsRowDxfId="106"/>
    <tableColumn id="91" xr3:uid="{3E7C0962-734E-4F09-B96A-8B5457386840}" name="Summary 08" totalsRowFunction="sum" dataDxfId="253" totalsRowDxfId="105">
      <calculatedColumnFormula>SUM(T_Receive[[#This Row],[w43]:[w47]])</calculatedColumnFormula>
    </tableColumn>
    <tableColumn id="92" xr3:uid="{C8812B65-7FFA-47E2-8061-27E6862A0064}" name="w43" totalsRowFunction="sum" dataDxfId="252" totalsRowDxfId="104"/>
    <tableColumn id="94" xr3:uid="{ACAE74E9-F535-4E5A-A5DD-0F3624DE7109}" name="w44" totalsRowFunction="sum" dataDxfId="251" totalsRowDxfId="103"/>
    <tableColumn id="96" xr3:uid="{6E839518-D1F7-4EA2-8196-76D46C047103}" name="w45" totalsRowFunction="sum" dataDxfId="250" totalsRowDxfId="102"/>
    <tableColumn id="98" xr3:uid="{92610A0C-0EDC-4113-986E-A58AB73810F4}" name="w46" totalsRowFunction="sum" dataDxfId="249" totalsRowDxfId="101"/>
    <tableColumn id="100" xr3:uid="{C3473F87-782F-49C0-B49C-8D83DF870F01}" name="w47" totalsRowFunction="sum" dataDxfId="248" totalsRowDxfId="100"/>
    <tableColumn id="102" xr3:uid="{02E0613E-A9E9-4D36-80A5-33D5400F194C}" name="Summary 09" totalsRowFunction="sum" dataDxfId="247" totalsRowDxfId="99">
      <calculatedColumnFormula>SUM(T_Receive[[#This Row],[w48]:[w51]])</calculatedColumnFormula>
    </tableColumn>
    <tableColumn id="103" xr3:uid="{B8019D22-2396-45D3-B625-51CAFB196372}" name="w48" totalsRowFunction="sum" dataDxfId="246" totalsRowDxfId="98"/>
    <tableColumn id="107" xr3:uid="{CCBFE305-243F-4C61-8290-C87B9CC9D1B4}" name="w49" totalsRowFunction="sum" dataDxfId="245" totalsRowDxfId="97"/>
    <tableColumn id="109" xr3:uid="{1CCF368A-888C-45E0-9891-9A29269971DD}" name="w50" totalsRowFunction="sum" dataDxfId="244" totalsRowDxfId="96"/>
    <tableColumn id="111" xr3:uid="{18980D02-E02F-4EAA-81C5-0103A0975071}" name="w51" totalsRowFunction="sum" dataDxfId="243" totalsRowDxfId="95"/>
    <tableColumn id="113" xr3:uid="{8BE2DFF3-BA3D-4723-AFC6-6C3C67F37868}" name="Summary 10" totalsRowFunction="sum" dataDxfId="242" totalsRowDxfId="94">
      <calculatedColumnFormula>SUM(T_Receive[[#This Row],[w52]:[w03]])</calculatedColumnFormula>
    </tableColumn>
    <tableColumn id="114" xr3:uid="{E4306EC8-385B-46EB-B0BE-D98361A5EB7B}" name="w52" totalsRowFunction="sum" dataDxfId="241" totalsRowDxfId="93"/>
    <tableColumn id="116" xr3:uid="{8EABD709-F1CC-49CD-9639-FD9893E43D47}" name="w01" totalsRowFunction="sum" dataDxfId="240" totalsRowDxfId="92"/>
    <tableColumn id="118" xr3:uid="{23A61F53-0428-4FE0-B6B4-B6D365B8A281}" name="w02" totalsRowFunction="sum" dataDxfId="239" totalsRowDxfId="91"/>
    <tableColumn id="122" xr3:uid="{88E1D85F-68EB-4147-8CE1-88D792B729F8}" name="w03" totalsRowFunction="sum" dataDxfId="238" totalsRowDxfId="90"/>
    <tableColumn id="124" xr3:uid="{A1141D76-DE09-4422-94D0-154A8D59E142}" name="Summary 11" totalsRowFunction="sum" dataDxfId="237" totalsRowDxfId="89">
      <calculatedColumnFormula>SUM(T_Receive[[#This Row],[w04]:[w07]])</calculatedColumnFormula>
    </tableColumn>
    <tableColumn id="125" xr3:uid="{9C2A6DAA-A502-4E40-8B1E-D543E6D8E023}" name="w04" totalsRowFunction="sum" dataDxfId="236" totalsRowDxfId="88"/>
    <tableColumn id="127" xr3:uid="{6A680E6F-2D65-48A9-86A6-58CF52FBAD3A}" name="w05" totalsRowFunction="sum" dataDxfId="235" totalsRowDxfId="87"/>
    <tableColumn id="129" xr3:uid="{B57E17E5-3F1F-49C0-BE2D-3A42348C0769}" name="w06" totalsRowFunction="sum" dataDxfId="234" totalsRowDxfId="86"/>
    <tableColumn id="133" xr3:uid="{030C530C-8745-480C-AC8E-E131F064C07C}" name="w07" totalsRowFunction="sum" dataDxfId="233" totalsRowDxfId="85"/>
    <tableColumn id="135" xr3:uid="{75A0236E-6142-4DC3-9A84-3539F45A18E8}" name="Summary 12" totalsRowFunction="sum" dataDxfId="232" totalsRowDxfId="84">
      <calculatedColumnFormula>SUM(T_Receive[[#This Row],[w08]:[w12'']])</calculatedColumnFormula>
    </tableColumn>
    <tableColumn id="136" xr3:uid="{65F82C73-D91A-4E30-AC2D-9B50201C8331}" name="w08" totalsRowFunction="sum" dataDxfId="231" totalsRowDxfId="83"/>
    <tableColumn id="138" xr3:uid="{6896589B-1E7E-4F93-9BF7-F05B2C78FE1A}" name="w09" totalsRowFunction="sum" dataDxfId="230" totalsRowDxfId="82"/>
    <tableColumn id="140" xr3:uid="{3494D7C8-95A7-455D-987E-25B0F851C530}" name="w10" totalsRowFunction="sum" dataDxfId="229" totalsRowDxfId="81"/>
    <tableColumn id="142" xr3:uid="{9045C9D9-480A-4102-BD82-DACC700E9D03}" name="w11" totalsRowFunction="sum" dataDxfId="228" totalsRowDxfId="80"/>
    <tableColumn id="144" xr3:uid="{26861892-30C2-48EF-80BF-9B6DE6B15960}" name="w12'" totalsRowFunction="sum" dataDxfId="227" totalsRowDxfId="79"/>
  </tableColumns>
  <tableStyleInfo name="Details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97075-3E5A-4E21-8512-460B2B4CECB5}" name="T_Pay" displayName="T_Pay" ref="A3:BO5" totalsRowCount="1" headerRowDxfId="226" dataDxfId="225" totalsRowDxfId="224">
  <autoFilter ref="A3:BO4" xr:uid="{A0697075-3E5A-4E21-8512-460B2B4CECB5}"/>
  <tableColumns count="67">
    <tableColumn id="1" xr3:uid="{3000368D-0F0E-4613-B8A6-EA02AD508717}" name="Title" totalsRowLabel="Grand Total" dataDxfId="223" totalsRowDxfId="78"/>
    <tableColumn id="23" xr3:uid="{5639BA77-1E6A-4F3B-BCE1-90B7DF5C722B}" name="Amount" totalsRowFunction="custom" dataDxfId="222" totalsRowDxfId="77">
      <calculatedColumnFormula>SUM(T_Pay[[#This Row],[Summary 01]],T_Pay[[#This Row],[Summary 02]],T_Pay[[#This Row],[Summary 03]],T_Pay[[#This Row],[Summary 04]],T_Pay[[#This Row],[Summary 05]],T_Pay[[#This Row],[Summary 06]],T_Pay[[#This Row],[Summary 07]],T_Pay[[#This Row],[Summary 08]],T_Pay[[#This Row],[Summary 09]],T_Pay[[#This Row],[Summary 10]],T_Pay[[#This Row],[Summary 11]],T_Pay[[#This Row],[Summary 12]])</calculatedColumnFormula>
      <totalsRowFormula>SUBTOTAL(109,T_Pay[Amount])/10000000</totalsRowFormula>
    </tableColumn>
    <tableColumn id="11" xr3:uid="{E8841415-7D9F-4279-9F09-55B24B4DDA98}" name="Summary 01" totalsRowFunction="sum" dataDxfId="221" totalsRowDxfId="76">
      <calculatedColumnFormula>SUM(T_Pay[[#This Row],[w12]:[w16]])</calculatedColumnFormula>
    </tableColumn>
    <tableColumn id="3" xr3:uid="{129ED2E4-BB96-4F20-A797-E2207659E1E0}" name="w12" totalsRowFunction="sum" dataDxfId="220" totalsRowDxfId="75"/>
    <tableColumn id="5" xr3:uid="{FE0E4E6B-08F5-4B25-8C27-59F443864ABB}" name="w13" totalsRowFunction="sum" dataDxfId="219" totalsRowDxfId="74"/>
    <tableColumn id="7" xr3:uid="{4DB6373F-C84F-48DB-BBEB-49B7ECF9C785}" name="w14" totalsRowFunction="sum" dataDxfId="218" totalsRowDxfId="73"/>
    <tableColumn id="9" xr3:uid="{7F2C75A2-FD8D-4630-A44E-A47D5A2504F1}" name="w15" totalsRowFunction="sum" dataDxfId="217" totalsRowDxfId="72"/>
    <tableColumn id="15" xr3:uid="{B2BECDA2-984C-474A-9561-98536B29686C}" name="w16" totalsRowFunction="sum" dataDxfId="216" totalsRowDxfId="71"/>
    <tableColumn id="12" xr3:uid="{C8FB856C-33F4-459B-B3DA-E69B883DE2FE}" name="Summary 02" totalsRowFunction="sum" dataDxfId="215" totalsRowDxfId="70">
      <calculatedColumnFormula>SUM(T_Pay[[#This Row],[w17]:[w20]])</calculatedColumnFormula>
    </tableColumn>
    <tableColumn id="13" xr3:uid="{1E042F46-8AA8-46F6-B5E2-7DFF783DAB30}" name="w17" totalsRowFunction="sum" dataDxfId="214" totalsRowDxfId="69"/>
    <tableColumn id="17" xr3:uid="{34A2CE59-25CA-4114-A620-78639C024B1B}" name="w18" totalsRowFunction="sum" dataDxfId="213" totalsRowDxfId="68"/>
    <tableColumn id="19" xr3:uid="{8EA82E35-5A87-439C-B5C1-02EF8B52A394}" name="w19" totalsRowFunction="sum" dataDxfId="212" totalsRowDxfId="67"/>
    <tableColumn id="21" xr3:uid="{711C10D4-357C-44B9-816B-98F50B14DF49}" name="w20" totalsRowFunction="sum" dataDxfId="211" totalsRowDxfId="66"/>
    <tableColumn id="25" xr3:uid="{3F44FE2B-F833-4D0A-B853-42EFCD7B6FCC}" name="Summary 03" totalsRowFunction="sum" dataDxfId="210" totalsRowDxfId="65">
      <calculatedColumnFormula>SUM(T_Pay[[#This Row],[w21]:[w25]])</calculatedColumnFormula>
    </tableColumn>
    <tableColumn id="26" xr3:uid="{13FA8795-2E2E-413D-A15B-CC24AF4DB735}" name="w21" totalsRowFunction="sum" dataDxfId="209" totalsRowDxfId="64"/>
    <tableColumn id="28" xr3:uid="{D0FDC87F-6CB3-4A5F-8EEA-0D2BA980A8BE}" name="w22" totalsRowFunction="sum" dataDxfId="208" totalsRowDxfId="63"/>
    <tableColumn id="30" xr3:uid="{4FC6C3E1-215E-4364-8F37-8CD01D01E4EF}" name="w23" totalsRowFunction="sum" dataDxfId="207" totalsRowDxfId="62"/>
    <tableColumn id="32" xr3:uid="{20BAE62F-F244-4756-99BA-CFA92A21C13B}" name="w24" totalsRowFunction="sum" dataDxfId="206" totalsRowDxfId="61"/>
    <tableColumn id="34" xr3:uid="{69EE4E43-4A8E-48B5-BEED-12CEF281EAFA}" name="w25" totalsRowFunction="sum" dataDxfId="205" totalsRowDxfId="60"/>
    <tableColumn id="47" xr3:uid="{F11A80C1-C041-4583-B188-C4DF312135C7}" name="Summary 04" totalsRowFunction="sum" dataDxfId="204" totalsRowDxfId="59">
      <calculatedColumnFormula>SUM(T_Pay[[#This Row],[w26]:[w29]])</calculatedColumnFormula>
    </tableColumn>
    <tableColumn id="48" xr3:uid="{BDA74876-8441-4E31-9D83-16D72FD8640B}" name="w26" totalsRowFunction="sum" dataDxfId="203" totalsRowDxfId="58"/>
    <tableColumn id="50" xr3:uid="{A64ED3D6-C1FA-4687-A023-09564E16C12B}" name="w27" totalsRowFunction="sum" dataDxfId="202" totalsRowDxfId="57"/>
    <tableColumn id="52" xr3:uid="{BE4DE3AF-092D-4B40-88DB-11B735A567ED}" name="w28" totalsRowFunction="sum" dataDxfId="201" totalsRowDxfId="56"/>
    <tableColumn id="56" xr3:uid="{210E70C5-62D7-472F-8769-8DB7E4CD36AE}" name="w29" totalsRowFunction="sum" dataDxfId="200" totalsRowDxfId="55"/>
    <tableColumn id="58" xr3:uid="{7AA94D5A-F765-476E-9D32-C9DEF93F5B38}" name="Summary 05" totalsRowFunction="sum" dataDxfId="199" totalsRowDxfId="54">
      <calculatedColumnFormula>SUM(T_Pay[[#This Row],[w30]:[w34]])</calculatedColumnFormula>
    </tableColumn>
    <tableColumn id="59" xr3:uid="{B73CBB39-7079-4A02-9C13-59A0131D4C4D}" name="w30" totalsRowFunction="sum" dataDxfId="198" totalsRowDxfId="53"/>
    <tableColumn id="61" xr3:uid="{91D12A3A-B806-4CC8-82BB-80091596BDD4}" name="w31" totalsRowFunction="sum" dataDxfId="197" totalsRowDxfId="52"/>
    <tableColumn id="63" xr3:uid="{2A652ABE-4782-41DA-B00C-080D31A9D6CE}" name="w32" totalsRowFunction="sum" dataDxfId="196" totalsRowDxfId="51"/>
    <tableColumn id="65" xr3:uid="{82ECA086-36E5-4C7F-AF7F-381F126917D5}" name="w33" totalsRowFunction="sum" dataDxfId="195" totalsRowDxfId="50"/>
    <tableColumn id="67" xr3:uid="{D699EEAD-6E30-43BD-8121-E98D41FEE33B}" name="w34" totalsRowFunction="sum" dataDxfId="194" totalsRowDxfId="49"/>
    <tableColumn id="69" xr3:uid="{2E6027AA-6A70-425E-B6B7-A2C868E5700E}" name="Summary 06" totalsRowFunction="sum" dataDxfId="193" totalsRowDxfId="48">
      <calculatedColumnFormula>SUM(T_Pay[[#This Row],[w35]:[w38]])</calculatedColumnFormula>
    </tableColumn>
    <tableColumn id="70" xr3:uid="{201A6FEE-4FC3-46DF-B7A3-DD81D45AB116}" name="w35" totalsRowFunction="sum" dataDxfId="192" totalsRowDxfId="47"/>
    <tableColumn id="72" xr3:uid="{B04FB541-F3CF-419A-9E80-13A73F1B19C5}" name="w36" totalsRowFunction="sum" dataDxfId="191" totalsRowDxfId="46"/>
    <tableColumn id="76" xr3:uid="{7EF74FCE-A88E-4528-B64F-B8550B337AF3}" name="w37" totalsRowFunction="sum" dataDxfId="190" totalsRowDxfId="45"/>
    <tableColumn id="78" xr3:uid="{8C0CE6D3-DF69-43EB-B894-412C9FADB0D5}" name="w38" totalsRowFunction="sum" dataDxfId="189" totalsRowDxfId="44"/>
    <tableColumn id="80" xr3:uid="{31F38F18-C7FF-4DE1-8460-CC19E2501CAB}" name="Summary 07" totalsRowFunction="sum" dataDxfId="188" totalsRowDxfId="43">
      <calculatedColumnFormula>SUM(T_Pay[[#This Row],[w39]:[w42]])</calculatedColumnFormula>
    </tableColumn>
    <tableColumn id="81" xr3:uid="{4341A661-F93D-4B20-A39E-5A085F121B45}" name="w39" totalsRowFunction="sum" dataDxfId="187" totalsRowDxfId="42"/>
    <tableColumn id="83" xr3:uid="{8788F29A-6585-4010-A815-7165576D7866}" name="w40" totalsRowFunction="sum" dataDxfId="186" totalsRowDxfId="41"/>
    <tableColumn id="85" xr3:uid="{B959DA97-B017-420D-883F-3D3CB06263C0}" name="w41" totalsRowFunction="sum" dataDxfId="185" totalsRowDxfId="40"/>
    <tableColumn id="89" xr3:uid="{64AED692-B6F9-4B1B-8CA5-9A6B38F6360F}" name="w42" totalsRowFunction="sum" dataDxfId="184" totalsRowDxfId="39"/>
    <tableColumn id="91" xr3:uid="{1512A395-BBCE-4EF2-B242-0BFD6574EF80}" name="Summary 08" totalsRowFunction="sum" dataDxfId="183" totalsRowDxfId="38">
      <calculatedColumnFormula>SUM(T_Pay[[#This Row],[w43]:[w47]])</calculatedColumnFormula>
    </tableColumn>
    <tableColumn id="92" xr3:uid="{807A6F34-F7C2-471B-BF86-3770A9732567}" name="w43" totalsRowFunction="sum" dataDxfId="182" totalsRowDxfId="37"/>
    <tableColumn id="94" xr3:uid="{FCF0E86B-7B7E-4419-9A6B-E11FA6F5F327}" name="w44" totalsRowFunction="sum" dataDxfId="181" totalsRowDxfId="36"/>
    <tableColumn id="96" xr3:uid="{FF9D890B-075E-4CE6-80E8-E8340DB3F2BB}" name="w45" totalsRowFunction="sum" dataDxfId="180" totalsRowDxfId="35"/>
    <tableColumn id="98" xr3:uid="{0408A070-B5B9-45C8-AAFE-D4B95B8D285A}" name="w46" totalsRowFunction="sum" dataDxfId="179" totalsRowDxfId="34"/>
    <tableColumn id="100" xr3:uid="{B0FCD3B5-B7CB-46F2-9D54-CC0914C3B28F}" name="w47" totalsRowFunction="sum" dataDxfId="178" totalsRowDxfId="33"/>
    <tableColumn id="102" xr3:uid="{110134D7-6958-4964-9B52-A4AB6C8A69EF}" name="Summary 09" totalsRowFunction="sum" dataDxfId="177" totalsRowDxfId="32">
      <calculatedColumnFormula>SUM(T_Pay[[#This Row],[w48]:[w51]])</calculatedColumnFormula>
    </tableColumn>
    <tableColumn id="103" xr3:uid="{0763D27B-146C-4D93-8610-410F0DE66B2A}" name="w48" totalsRowFunction="sum" dataDxfId="176" totalsRowDxfId="31"/>
    <tableColumn id="107" xr3:uid="{796ABDD5-16ED-4245-AF45-E96A51D90E40}" name="w49" totalsRowFunction="sum" dataDxfId="175" totalsRowDxfId="30"/>
    <tableColumn id="109" xr3:uid="{0D6F7BDE-D21F-4D01-89E7-7A76A64BB754}" name="w50" totalsRowFunction="sum" dataDxfId="174" totalsRowDxfId="29"/>
    <tableColumn id="111" xr3:uid="{E293E0E8-D712-477C-8F81-AE792F74D730}" name="w51" totalsRowFunction="sum" dataDxfId="173" totalsRowDxfId="28"/>
    <tableColumn id="113" xr3:uid="{0B0A4AC5-F70D-4504-B3D3-8D7B58AC2287}" name="Summary 10" totalsRowFunction="sum" dataDxfId="172" totalsRowDxfId="27">
      <calculatedColumnFormula>SUM(T_Pay[[#This Row],[w52]:[w03]])</calculatedColumnFormula>
    </tableColumn>
    <tableColumn id="114" xr3:uid="{14644F4A-A183-44FA-A513-13A247A21BC8}" name="w52" totalsRowFunction="sum" dataDxfId="171" totalsRowDxfId="26"/>
    <tableColumn id="116" xr3:uid="{C4979769-959B-4F40-AF57-43E19354D1F7}" name="w01" totalsRowFunction="sum" dataDxfId="170" totalsRowDxfId="25"/>
    <tableColumn id="118" xr3:uid="{C1E1BD3D-8335-45E4-9B07-AE32CD3999B5}" name="w02" totalsRowFunction="sum" dataDxfId="169" totalsRowDxfId="24"/>
    <tableColumn id="122" xr3:uid="{4ACBD4F7-A32C-4F9A-BF65-268251C2B076}" name="w03" totalsRowFunction="sum" dataDxfId="168" totalsRowDxfId="23"/>
    <tableColumn id="124" xr3:uid="{F904D25F-96A2-4D87-90C1-0816852FC2AF}" name="Summary 11" totalsRowFunction="sum" dataDxfId="167" totalsRowDxfId="22">
      <calculatedColumnFormula>SUM(T_Pay[[#This Row],[w04]:[w07]])</calculatedColumnFormula>
    </tableColumn>
    <tableColumn id="125" xr3:uid="{31BD6963-1D6C-4BAD-B507-B577CE5BFB12}" name="w04" totalsRowFunction="sum" dataDxfId="166" totalsRowDxfId="21"/>
    <tableColumn id="127" xr3:uid="{8ADED3B4-7920-46DB-B3B1-0C1A5D9464D7}" name="w05" totalsRowFunction="sum" dataDxfId="165" totalsRowDxfId="20"/>
    <tableColumn id="129" xr3:uid="{9C49B971-9230-497D-B4A8-6A67FB2D6533}" name="w06" totalsRowFunction="sum" dataDxfId="164" totalsRowDxfId="19"/>
    <tableColumn id="133" xr3:uid="{9F167947-45C2-4164-BA5D-388AF2C6784A}" name="w07" totalsRowFunction="sum" dataDxfId="163" totalsRowDxfId="18"/>
    <tableColumn id="135" xr3:uid="{B88A26A0-60E6-4325-88C4-262DA8CBF5BB}" name="Summary 12" totalsRowFunction="sum" dataDxfId="162" totalsRowDxfId="17">
      <calculatedColumnFormula>SUM(T_Pay[[#This Row],[w08]:[w12'']])</calculatedColumnFormula>
    </tableColumn>
    <tableColumn id="136" xr3:uid="{4853DE14-A64D-462E-B0FF-9BB35F834415}" name="w08" totalsRowFunction="sum" dataDxfId="161" totalsRowDxfId="16"/>
    <tableColumn id="138" xr3:uid="{012178B3-6607-4B57-AE55-0E9053AD128A}" name="w09" totalsRowFunction="sum" dataDxfId="160" totalsRowDxfId="15"/>
    <tableColumn id="140" xr3:uid="{64E84D94-2600-4645-9FC6-6751DE4388EB}" name="w10" totalsRowFunction="sum" dataDxfId="159" totalsRowDxfId="14"/>
    <tableColumn id="142" xr3:uid="{58F007DB-87E0-46CA-A5B6-6E1BB4A52CA2}" name="w11" totalsRowFunction="sum" dataDxfId="158" totalsRowDxfId="13"/>
    <tableColumn id="144" xr3:uid="{7FE1847A-06BF-41D3-A437-3A214D1E93E4}" name="w12'" totalsRowFunction="sum" dataDxfId="157" totalsRowDxfId="12"/>
  </tableColumns>
  <tableStyleInfo name="Details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1ECE6F-8E36-4A76-B522-89993772A4E3}" name="T_Week" displayName="T_Week" ref="D3:G56" totalsRowShown="0" headerRowDxfId="156" dataDxfId="155">
  <autoFilter ref="D3:G56" xr:uid="{791ECE6F-8E36-4A76-B522-89993772A4E3}"/>
  <tableColumns count="4">
    <tableColumn id="5" xr3:uid="{D812B0D7-620E-4F90-8BFC-7574780990A0}" name="Week" dataDxfId="154" dataCellStyle="Comma"/>
    <tableColumn id="1" xr3:uid="{31EF0F03-EE28-4BC0-9488-CBDDD184B9AC}" name="ID" dataDxfId="153" dataCellStyle="Comma"/>
    <tableColumn id="2" xr3:uid="{B5A0262B-AD59-40FD-917D-A5E677EC004F}" name="From" dataDxfId="152"/>
    <tableColumn id="3" xr3:uid="{50329F1D-21C9-4299-A22C-8D9FE2C1A2D2}" name="To" dataDxfId="151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0A180D-3CB8-408B-84F8-1E906DF54AB1}" name="T_Changes" displayName="T_Changes" ref="I3:J6" totalsRowShown="0" headerRowDxfId="150" dataDxfId="149">
  <autoFilter ref="I3:J6" xr:uid="{F90A180D-3CB8-408B-84F8-1E906DF54AB1}"/>
  <tableColumns count="2">
    <tableColumn id="1" xr3:uid="{1C7C0381-1CA7-4260-B5AD-71CE252BE989}" name="ID" dataDxfId="148" dataCellStyle="Percent"/>
    <tableColumn id="2" xr3:uid="{7B15C6F7-F62D-4A4A-9E88-4C83CDA5358A}" name="Description" dataDxfId="14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B038-9DB5-43E9-9B84-1C2023E67E85}">
  <sheetPr>
    <tabColor theme="0" tint="-0.34998626667073579"/>
    <pageSetUpPr fitToPage="1"/>
  </sheetPr>
  <dimension ref="A1:AP55"/>
  <sheetViews>
    <sheetView showGridLines="0" rightToLeft="1" tabSelected="1" zoomScaleNormal="100" workbookViewId="0"/>
  </sheetViews>
  <sheetFormatPr defaultRowHeight="14.25"/>
  <cols>
    <col min="1" max="4" width="9" style="18" customWidth="1"/>
    <col min="5" max="5" width="9" customWidth="1"/>
    <col min="6" max="9" width="9" style="19" customWidth="1"/>
    <col min="10" max="10" width="9" customWidth="1"/>
    <col min="29" max="29" width="9.625" bestFit="1" customWidth="1"/>
    <col min="30" max="30" width="10.25" style="18" bestFit="1" customWidth="1"/>
    <col min="31" max="31" width="4.5" style="18" bestFit="1" customWidth="1"/>
    <col min="32" max="32" width="5.75" style="18" bestFit="1" customWidth="1"/>
    <col min="33" max="33" width="7.875" style="18" bestFit="1" customWidth="1"/>
    <col min="34" max="34" width="3.875" style="18" bestFit="1" customWidth="1"/>
    <col min="35" max="35" width="6.25" bestFit="1" customWidth="1"/>
    <col min="36" max="36" width="5.25" bestFit="1" customWidth="1"/>
    <col min="37" max="37" width="6.625" bestFit="1" customWidth="1"/>
    <col min="38" max="38" width="4.125" bestFit="1" customWidth="1"/>
    <col min="39" max="39" width="3.875" bestFit="1" customWidth="1"/>
    <col min="40" max="40" width="5.375" style="27" bestFit="1" customWidth="1"/>
    <col min="41" max="41" width="5.25" style="27" bestFit="1" customWidth="1"/>
    <col min="42" max="42" width="6.625" style="27" bestFit="1" customWidth="1"/>
  </cols>
  <sheetData>
    <row r="1" spans="5:42">
      <c r="E1" s="19"/>
      <c r="F1"/>
      <c r="G1"/>
      <c r="H1"/>
      <c r="I1"/>
      <c r="AC1" s="12" t="s">
        <v>195</v>
      </c>
      <c r="AD1" s="12" t="s">
        <v>138</v>
      </c>
      <c r="AE1" s="12" t="s">
        <v>205</v>
      </c>
      <c r="AF1" s="12" t="s">
        <v>206</v>
      </c>
      <c r="AG1" s="12" t="s">
        <v>207</v>
      </c>
      <c r="AH1" s="12" t="s">
        <v>198</v>
      </c>
      <c r="AN1"/>
      <c r="AO1"/>
      <c r="AP1"/>
    </row>
    <row r="2" spans="5:42">
      <c r="E2" s="19"/>
      <c r="F2"/>
      <c r="G2"/>
      <c r="H2"/>
      <c r="I2"/>
      <c r="AC2">
        <v>1</v>
      </c>
      <c r="AD2" s="18" t="s">
        <v>150</v>
      </c>
      <c r="AE2">
        <v>0</v>
      </c>
      <c r="AF2">
        <v>0</v>
      </c>
      <c r="AG2">
        <v>0</v>
      </c>
      <c r="AH2" s="64">
        <f>AH1+T_Chart[[#This Row],[ Total]]</f>
        <v>0</v>
      </c>
      <c r="AN2"/>
      <c r="AO2"/>
      <c r="AP2"/>
    </row>
    <row r="3" spans="5:42">
      <c r="E3" s="19"/>
      <c r="F3"/>
      <c r="G3"/>
      <c r="H3"/>
      <c r="I3"/>
      <c r="AC3">
        <v>2</v>
      </c>
      <c r="AD3" s="18" t="s">
        <v>144</v>
      </c>
      <c r="AE3">
        <v>0</v>
      </c>
      <c r="AF3">
        <v>0</v>
      </c>
      <c r="AG3">
        <v>0</v>
      </c>
      <c r="AH3" s="64">
        <f>AH2+T_Chart[[#This Row],[ Total]]</f>
        <v>0</v>
      </c>
      <c r="AN3"/>
      <c r="AO3"/>
      <c r="AP3"/>
    </row>
    <row r="4" spans="5:42">
      <c r="E4" s="19"/>
      <c r="F4"/>
      <c r="G4"/>
      <c r="H4"/>
      <c r="I4"/>
      <c r="AC4">
        <v>3</v>
      </c>
      <c r="AD4" s="18" t="s">
        <v>151</v>
      </c>
      <c r="AE4">
        <v>0</v>
      </c>
      <c r="AF4">
        <v>0</v>
      </c>
      <c r="AG4">
        <v>0</v>
      </c>
      <c r="AH4" s="64">
        <f>AH3+T_Chart[[#This Row],[ Total]]</f>
        <v>0</v>
      </c>
      <c r="AN4"/>
      <c r="AO4"/>
      <c r="AP4"/>
    </row>
    <row r="5" spans="5:42">
      <c r="E5" s="19"/>
      <c r="F5"/>
      <c r="G5"/>
      <c r="H5"/>
      <c r="I5"/>
      <c r="AC5">
        <v>4</v>
      </c>
      <c r="AD5" s="18" t="s">
        <v>139</v>
      </c>
      <c r="AE5">
        <v>0</v>
      </c>
      <c r="AF5">
        <v>0</v>
      </c>
      <c r="AG5">
        <v>0</v>
      </c>
      <c r="AH5" s="64">
        <f>AH4+T_Chart[[#This Row],[ Total]]</f>
        <v>0</v>
      </c>
      <c r="AN5"/>
      <c r="AO5"/>
      <c r="AP5"/>
    </row>
    <row r="6" spans="5:42">
      <c r="E6" s="19"/>
      <c r="F6"/>
      <c r="G6"/>
      <c r="H6"/>
      <c r="I6"/>
      <c r="AC6">
        <v>5</v>
      </c>
      <c r="AD6" s="18" t="s">
        <v>152</v>
      </c>
      <c r="AE6">
        <v>0</v>
      </c>
      <c r="AF6">
        <v>0</v>
      </c>
      <c r="AG6">
        <v>0</v>
      </c>
      <c r="AH6" s="64">
        <f>AH5+T_Chart[[#This Row],[ Total]]</f>
        <v>0</v>
      </c>
      <c r="AN6"/>
      <c r="AO6"/>
      <c r="AP6"/>
    </row>
    <row r="7" spans="5:42">
      <c r="E7" s="19"/>
      <c r="F7"/>
      <c r="G7"/>
      <c r="H7"/>
      <c r="I7"/>
      <c r="AC7">
        <v>6</v>
      </c>
      <c r="AD7" s="18" t="s">
        <v>153</v>
      </c>
      <c r="AE7">
        <v>0</v>
      </c>
      <c r="AF7">
        <v>0</v>
      </c>
      <c r="AG7">
        <v>0</v>
      </c>
      <c r="AH7" s="64">
        <f>AH6+T_Chart[[#This Row],[ Total]]</f>
        <v>0</v>
      </c>
      <c r="AN7"/>
      <c r="AO7"/>
      <c r="AP7"/>
    </row>
    <row r="8" spans="5:42">
      <c r="E8" s="19"/>
      <c r="F8"/>
      <c r="G8"/>
      <c r="H8"/>
      <c r="I8"/>
      <c r="AC8">
        <v>7</v>
      </c>
      <c r="AD8" s="18" t="s">
        <v>154</v>
      </c>
      <c r="AE8">
        <v>0</v>
      </c>
      <c r="AF8">
        <v>0</v>
      </c>
      <c r="AG8">
        <v>0</v>
      </c>
      <c r="AH8" s="64">
        <f>AH7+T_Chart[[#This Row],[ Total]]</f>
        <v>0</v>
      </c>
      <c r="AN8"/>
      <c r="AO8"/>
      <c r="AP8"/>
    </row>
    <row r="9" spans="5:42">
      <c r="E9" s="19"/>
      <c r="F9"/>
      <c r="G9"/>
      <c r="H9"/>
      <c r="I9"/>
      <c r="AC9">
        <v>8</v>
      </c>
      <c r="AD9" s="18" t="s">
        <v>155</v>
      </c>
      <c r="AE9">
        <v>0</v>
      </c>
      <c r="AF9">
        <v>0</v>
      </c>
      <c r="AG9">
        <v>0</v>
      </c>
      <c r="AH9" s="64">
        <f>AH8+T_Chart[[#This Row],[ Total]]</f>
        <v>0</v>
      </c>
      <c r="AN9"/>
      <c r="AO9"/>
      <c r="AP9"/>
    </row>
    <row r="10" spans="5:42">
      <c r="E10" s="19"/>
      <c r="F10"/>
      <c r="G10"/>
      <c r="H10"/>
      <c r="I10"/>
      <c r="AC10">
        <v>9</v>
      </c>
      <c r="AD10" s="18" t="s">
        <v>142</v>
      </c>
      <c r="AE10">
        <v>0</v>
      </c>
      <c r="AF10">
        <v>0</v>
      </c>
      <c r="AG10">
        <v>0</v>
      </c>
      <c r="AH10" s="64">
        <f>AH9+T_Chart[[#This Row],[ Total]]</f>
        <v>0</v>
      </c>
      <c r="AN10"/>
      <c r="AO10"/>
      <c r="AP10"/>
    </row>
    <row r="11" spans="5:42">
      <c r="E11" s="19"/>
      <c r="F11"/>
      <c r="G11"/>
      <c r="H11"/>
      <c r="I11"/>
      <c r="AC11">
        <v>10</v>
      </c>
      <c r="AD11" s="18" t="s">
        <v>156</v>
      </c>
      <c r="AE11">
        <v>0</v>
      </c>
      <c r="AF11">
        <v>0</v>
      </c>
      <c r="AG11">
        <v>0</v>
      </c>
      <c r="AH11" s="64">
        <f>AH10+T_Chart[[#This Row],[ Total]]</f>
        <v>0</v>
      </c>
      <c r="AN11"/>
      <c r="AO11"/>
      <c r="AP11"/>
    </row>
    <row r="12" spans="5:42">
      <c r="E12" s="19"/>
      <c r="F12"/>
      <c r="G12"/>
      <c r="H12"/>
      <c r="I12"/>
      <c r="AC12">
        <v>11</v>
      </c>
      <c r="AD12" s="18" t="s">
        <v>141</v>
      </c>
      <c r="AE12">
        <v>0</v>
      </c>
      <c r="AF12">
        <v>0</v>
      </c>
      <c r="AG12">
        <v>0</v>
      </c>
      <c r="AH12" s="64">
        <f>AH11+T_Chart[[#This Row],[ Total]]</f>
        <v>0</v>
      </c>
      <c r="AN12"/>
      <c r="AO12"/>
      <c r="AP12"/>
    </row>
    <row r="13" spans="5:42">
      <c r="E13" s="19"/>
      <c r="F13"/>
      <c r="G13"/>
      <c r="H13"/>
      <c r="I13"/>
      <c r="AC13">
        <v>12</v>
      </c>
      <c r="AD13" s="18" t="s">
        <v>157</v>
      </c>
      <c r="AE13">
        <v>0</v>
      </c>
      <c r="AF13">
        <v>0</v>
      </c>
      <c r="AG13">
        <v>0</v>
      </c>
      <c r="AH13" s="64">
        <f>AH12+T_Chart[[#This Row],[ Total]]</f>
        <v>0</v>
      </c>
      <c r="AN13"/>
      <c r="AO13"/>
      <c r="AP13"/>
    </row>
    <row r="14" spans="5:42">
      <c r="E14" s="19"/>
      <c r="F14"/>
      <c r="G14"/>
      <c r="H14"/>
      <c r="I14"/>
      <c r="AC14">
        <v>13</v>
      </c>
      <c r="AD14" s="18" t="s">
        <v>158</v>
      </c>
      <c r="AE14">
        <v>0</v>
      </c>
      <c r="AF14">
        <v>0</v>
      </c>
      <c r="AG14">
        <v>0</v>
      </c>
      <c r="AH14" s="64">
        <f>AH13+T_Chart[[#This Row],[ Total]]</f>
        <v>0</v>
      </c>
      <c r="AN14"/>
      <c r="AO14"/>
      <c r="AP14"/>
    </row>
    <row r="15" spans="5:42">
      <c r="E15" s="19"/>
      <c r="F15"/>
      <c r="G15"/>
      <c r="H15"/>
      <c r="I15"/>
      <c r="AC15">
        <v>14</v>
      </c>
      <c r="AD15" s="18" t="s">
        <v>159</v>
      </c>
      <c r="AE15">
        <v>0</v>
      </c>
      <c r="AF15">
        <v>0</v>
      </c>
      <c r="AG15">
        <v>0</v>
      </c>
      <c r="AH15" s="64">
        <f>AH14+T_Chart[[#This Row],[ Total]]</f>
        <v>0</v>
      </c>
      <c r="AN15"/>
      <c r="AO15"/>
      <c r="AP15"/>
    </row>
    <row r="16" spans="5:42">
      <c r="E16" s="19"/>
      <c r="F16"/>
      <c r="G16"/>
      <c r="H16"/>
      <c r="I16"/>
      <c r="AC16">
        <v>15</v>
      </c>
      <c r="AD16" s="18" t="s">
        <v>160</v>
      </c>
      <c r="AE16">
        <v>0</v>
      </c>
      <c r="AF16">
        <v>0</v>
      </c>
      <c r="AG16">
        <v>0</v>
      </c>
      <c r="AH16" s="64">
        <f>AH15+T_Chart[[#This Row],[ Total]]</f>
        <v>0</v>
      </c>
      <c r="AN16"/>
      <c r="AO16"/>
      <c r="AP16"/>
    </row>
    <row r="17" spans="5:42">
      <c r="E17" s="19"/>
      <c r="F17"/>
      <c r="G17"/>
      <c r="H17"/>
      <c r="I17"/>
      <c r="AC17">
        <v>16</v>
      </c>
      <c r="AD17" s="18" t="s">
        <v>161</v>
      </c>
      <c r="AE17">
        <v>0</v>
      </c>
      <c r="AF17">
        <v>0</v>
      </c>
      <c r="AG17">
        <v>0</v>
      </c>
      <c r="AH17" s="64">
        <f>AH16+T_Chart[[#This Row],[ Total]]</f>
        <v>0</v>
      </c>
      <c r="AN17"/>
      <c r="AO17"/>
      <c r="AP17"/>
    </row>
    <row r="18" spans="5:42">
      <c r="E18" s="19"/>
      <c r="F18"/>
      <c r="G18"/>
      <c r="H18"/>
      <c r="I18"/>
      <c r="AC18">
        <v>17</v>
      </c>
      <c r="AD18" s="18" t="s">
        <v>162</v>
      </c>
      <c r="AE18">
        <v>0</v>
      </c>
      <c r="AF18">
        <v>0</v>
      </c>
      <c r="AG18">
        <v>0</v>
      </c>
      <c r="AH18" s="64">
        <f>AH17+T_Chart[[#This Row],[ Total]]</f>
        <v>0</v>
      </c>
      <c r="AN18"/>
      <c r="AO18"/>
      <c r="AP18"/>
    </row>
    <row r="19" spans="5:42">
      <c r="E19" s="19"/>
      <c r="F19"/>
      <c r="G19"/>
      <c r="H19"/>
      <c r="I19"/>
      <c r="AC19">
        <v>18</v>
      </c>
      <c r="AD19" s="18" t="s">
        <v>163</v>
      </c>
      <c r="AE19">
        <v>0</v>
      </c>
      <c r="AF19">
        <v>0</v>
      </c>
      <c r="AG19">
        <v>0</v>
      </c>
      <c r="AH19" s="64">
        <f>AH18+T_Chart[[#This Row],[ Total]]</f>
        <v>0</v>
      </c>
      <c r="AN19"/>
      <c r="AO19"/>
      <c r="AP19"/>
    </row>
    <row r="20" spans="5:42">
      <c r="E20" s="19"/>
      <c r="F20"/>
      <c r="G20"/>
      <c r="H20"/>
      <c r="I20"/>
      <c r="AC20">
        <v>19</v>
      </c>
      <c r="AD20" s="18" t="s">
        <v>164</v>
      </c>
      <c r="AE20">
        <v>0</v>
      </c>
      <c r="AF20">
        <v>0</v>
      </c>
      <c r="AG20">
        <v>0</v>
      </c>
      <c r="AH20" s="64">
        <f>AH19+T_Chart[[#This Row],[ Total]]</f>
        <v>0</v>
      </c>
      <c r="AN20"/>
      <c r="AO20"/>
      <c r="AP20"/>
    </row>
    <row r="21" spans="5:42">
      <c r="E21" s="19"/>
      <c r="F21"/>
      <c r="G21"/>
      <c r="H21"/>
      <c r="I21"/>
      <c r="AC21">
        <v>20</v>
      </c>
      <c r="AD21" s="18" t="s">
        <v>140</v>
      </c>
      <c r="AE21">
        <v>0</v>
      </c>
      <c r="AF21">
        <v>0</v>
      </c>
      <c r="AG21">
        <v>0</v>
      </c>
      <c r="AH21" s="64">
        <f>AH20+T_Chart[[#This Row],[ Total]]</f>
        <v>0</v>
      </c>
      <c r="AN21"/>
      <c r="AO21"/>
      <c r="AP21"/>
    </row>
    <row r="22" spans="5:42">
      <c r="E22" s="19"/>
      <c r="F22"/>
      <c r="G22"/>
      <c r="H22"/>
      <c r="I22"/>
      <c r="AC22">
        <v>21</v>
      </c>
      <c r="AD22" s="18" t="s">
        <v>165</v>
      </c>
      <c r="AE22">
        <v>0</v>
      </c>
      <c r="AF22">
        <v>0</v>
      </c>
      <c r="AG22">
        <v>0</v>
      </c>
      <c r="AH22" s="64">
        <f>AH21+T_Chart[[#This Row],[ Total]]</f>
        <v>0</v>
      </c>
      <c r="AN22"/>
      <c r="AO22"/>
      <c r="AP22"/>
    </row>
    <row r="23" spans="5:42">
      <c r="E23" s="19"/>
      <c r="F23"/>
      <c r="G23"/>
      <c r="H23"/>
      <c r="I23"/>
      <c r="AC23">
        <v>22</v>
      </c>
      <c r="AD23" s="18" t="s">
        <v>166</v>
      </c>
      <c r="AE23">
        <v>0</v>
      </c>
      <c r="AF23">
        <v>0</v>
      </c>
      <c r="AG23">
        <v>0</v>
      </c>
      <c r="AH23" s="64">
        <f>AH22+T_Chart[[#This Row],[ Total]]</f>
        <v>0</v>
      </c>
      <c r="AN23"/>
      <c r="AO23"/>
      <c r="AP23"/>
    </row>
    <row r="24" spans="5:42">
      <c r="E24" s="19"/>
      <c r="F24"/>
      <c r="G24"/>
      <c r="H24"/>
      <c r="I24"/>
      <c r="AC24">
        <v>23</v>
      </c>
      <c r="AD24" s="18" t="s">
        <v>167</v>
      </c>
      <c r="AE24">
        <v>0</v>
      </c>
      <c r="AF24">
        <v>0</v>
      </c>
      <c r="AG24">
        <v>0</v>
      </c>
      <c r="AH24" s="64">
        <f>AH23+T_Chart[[#This Row],[ Total]]</f>
        <v>0</v>
      </c>
      <c r="AN24"/>
      <c r="AO24"/>
      <c r="AP24"/>
    </row>
    <row r="25" spans="5:42">
      <c r="E25" s="19"/>
      <c r="F25"/>
      <c r="G25"/>
      <c r="H25"/>
      <c r="I25"/>
      <c r="AC25">
        <v>24</v>
      </c>
      <c r="AD25" s="18" t="s">
        <v>168</v>
      </c>
      <c r="AE25">
        <v>0</v>
      </c>
      <c r="AF25">
        <v>0</v>
      </c>
      <c r="AG25">
        <v>0</v>
      </c>
      <c r="AH25" s="64">
        <f>AH24+T_Chart[[#This Row],[ Total]]</f>
        <v>0</v>
      </c>
      <c r="AN25"/>
      <c r="AO25"/>
      <c r="AP25"/>
    </row>
    <row r="26" spans="5:42">
      <c r="E26" s="19"/>
      <c r="F26"/>
      <c r="G26"/>
      <c r="H26"/>
      <c r="I26"/>
      <c r="AC26">
        <v>25</v>
      </c>
      <c r="AD26" s="18" t="s">
        <v>146</v>
      </c>
      <c r="AE26">
        <v>0</v>
      </c>
      <c r="AF26">
        <v>0</v>
      </c>
      <c r="AG26">
        <v>0</v>
      </c>
      <c r="AH26" s="64">
        <f>AH25+T_Chart[[#This Row],[ Total]]</f>
        <v>0</v>
      </c>
      <c r="AN26"/>
      <c r="AO26"/>
      <c r="AP26"/>
    </row>
    <row r="27" spans="5:42">
      <c r="E27" s="19"/>
      <c r="F27"/>
      <c r="G27"/>
      <c r="H27"/>
      <c r="I27"/>
      <c r="AC27">
        <v>26</v>
      </c>
      <c r="AD27" s="18" t="s">
        <v>169</v>
      </c>
      <c r="AE27">
        <v>0</v>
      </c>
      <c r="AF27">
        <v>0</v>
      </c>
      <c r="AG27">
        <v>0</v>
      </c>
      <c r="AH27" s="64">
        <f>AH26+T_Chart[[#This Row],[ Total]]</f>
        <v>0</v>
      </c>
      <c r="AN27"/>
      <c r="AO27"/>
      <c r="AP27"/>
    </row>
    <row r="28" spans="5:42">
      <c r="E28" s="19"/>
      <c r="F28"/>
      <c r="G28"/>
      <c r="H28"/>
      <c r="I28"/>
      <c r="AC28">
        <v>27</v>
      </c>
      <c r="AD28" s="18" t="s">
        <v>170</v>
      </c>
      <c r="AE28">
        <v>0</v>
      </c>
      <c r="AF28">
        <v>0</v>
      </c>
      <c r="AG28">
        <v>0</v>
      </c>
      <c r="AH28" s="64">
        <f>AH27+T_Chart[[#This Row],[ Total]]</f>
        <v>0</v>
      </c>
      <c r="AN28"/>
      <c r="AO28"/>
      <c r="AP28"/>
    </row>
    <row r="29" spans="5:42">
      <c r="E29" s="19"/>
      <c r="F29"/>
      <c r="G29"/>
      <c r="H29"/>
      <c r="I29"/>
      <c r="AC29">
        <v>28</v>
      </c>
      <c r="AD29" s="18" t="s">
        <v>171</v>
      </c>
      <c r="AE29">
        <v>0</v>
      </c>
      <c r="AF29">
        <v>0</v>
      </c>
      <c r="AG29">
        <v>0</v>
      </c>
      <c r="AH29" s="64">
        <f>AH28+T_Chart[[#This Row],[ Total]]</f>
        <v>0</v>
      </c>
      <c r="AN29"/>
      <c r="AO29"/>
      <c r="AP29"/>
    </row>
    <row r="30" spans="5:42">
      <c r="E30" s="19"/>
      <c r="F30"/>
      <c r="G30"/>
      <c r="H30"/>
      <c r="I30"/>
      <c r="AC30">
        <v>29</v>
      </c>
      <c r="AD30" s="18" t="s">
        <v>172</v>
      </c>
      <c r="AE30">
        <v>0</v>
      </c>
      <c r="AF30">
        <v>0</v>
      </c>
      <c r="AG30">
        <v>0</v>
      </c>
      <c r="AH30" s="64">
        <f>AH29+T_Chart[[#This Row],[ Total]]</f>
        <v>0</v>
      </c>
      <c r="AN30"/>
      <c r="AO30"/>
      <c r="AP30"/>
    </row>
    <row r="31" spans="5:42">
      <c r="E31" s="19"/>
      <c r="F31"/>
      <c r="G31"/>
      <c r="H31"/>
      <c r="I31"/>
      <c r="AC31">
        <v>30</v>
      </c>
      <c r="AD31" s="18" t="s">
        <v>147</v>
      </c>
      <c r="AE31">
        <v>0</v>
      </c>
      <c r="AF31">
        <v>0</v>
      </c>
      <c r="AG31">
        <v>0</v>
      </c>
      <c r="AH31" s="64">
        <f>AH30+T_Chart[[#This Row],[ Total]]</f>
        <v>0</v>
      </c>
      <c r="AN31"/>
      <c r="AO31"/>
      <c r="AP31"/>
    </row>
    <row r="32" spans="5:42">
      <c r="E32" s="19"/>
      <c r="F32"/>
      <c r="G32"/>
      <c r="H32"/>
      <c r="I32"/>
      <c r="AC32">
        <v>31</v>
      </c>
      <c r="AD32" s="18" t="s">
        <v>173</v>
      </c>
      <c r="AE32">
        <v>0</v>
      </c>
      <c r="AF32">
        <v>0</v>
      </c>
      <c r="AG32">
        <v>0</v>
      </c>
      <c r="AH32" s="64">
        <f>AH31+T_Chart[[#This Row],[ Total]]</f>
        <v>0</v>
      </c>
      <c r="AN32"/>
      <c r="AO32"/>
      <c r="AP32"/>
    </row>
    <row r="33" spans="5:42">
      <c r="E33" s="19"/>
      <c r="F33"/>
      <c r="G33"/>
      <c r="H33"/>
      <c r="I33"/>
      <c r="AC33">
        <v>32</v>
      </c>
      <c r="AD33" s="18" t="s">
        <v>174</v>
      </c>
      <c r="AE33">
        <v>0</v>
      </c>
      <c r="AF33">
        <v>0</v>
      </c>
      <c r="AG33">
        <v>0</v>
      </c>
      <c r="AH33" s="64">
        <f>AH32+T_Chart[[#This Row],[ Total]]</f>
        <v>0</v>
      </c>
      <c r="AN33"/>
      <c r="AO33"/>
      <c r="AP33"/>
    </row>
    <row r="34" spans="5:42">
      <c r="E34" s="19"/>
      <c r="F34"/>
      <c r="G34"/>
      <c r="H34"/>
      <c r="I34"/>
      <c r="AC34">
        <v>33</v>
      </c>
      <c r="AD34" s="18" t="s">
        <v>175</v>
      </c>
      <c r="AE34">
        <v>0</v>
      </c>
      <c r="AF34">
        <v>0</v>
      </c>
      <c r="AG34">
        <v>0</v>
      </c>
      <c r="AH34" s="64">
        <f>AH33+T_Chart[[#This Row],[ Total]]</f>
        <v>0</v>
      </c>
      <c r="AN34"/>
      <c r="AO34"/>
      <c r="AP34"/>
    </row>
    <row r="35" spans="5:42">
      <c r="E35" s="19"/>
      <c r="F35"/>
      <c r="G35"/>
      <c r="H35"/>
      <c r="I35"/>
      <c r="AC35">
        <v>34</v>
      </c>
      <c r="AD35" s="18" t="s">
        <v>176</v>
      </c>
      <c r="AE35">
        <v>0</v>
      </c>
      <c r="AF35">
        <v>0</v>
      </c>
      <c r="AG35">
        <v>0</v>
      </c>
      <c r="AH35" s="64">
        <f>AH34+T_Chart[[#This Row],[ Total]]</f>
        <v>0</v>
      </c>
      <c r="AN35"/>
      <c r="AO35"/>
      <c r="AP35"/>
    </row>
    <row r="36" spans="5:42">
      <c r="E36" s="19"/>
      <c r="F36"/>
      <c r="G36"/>
      <c r="H36"/>
      <c r="I36"/>
      <c r="AC36">
        <v>35</v>
      </c>
      <c r="AD36" s="18" t="s">
        <v>177</v>
      </c>
      <c r="AE36">
        <v>0</v>
      </c>
      <c r="AF36">
        <v>0</v>
      </c>
      <c r="AG36">
        <v>0</v>
      </c>
      <c r="AH36" s="64">
        <f>AH35+T_Chart[[#This Row],[ Total]]</f>
        <v>0</v>
      </c>
      <c r="AN36"/>
      <c r="AO36"/>
      <c r="AP36"/>
    </row>
    <row r="37" spans="5:42">
      <c r="E37" s="19"/>
      <c r="F37"/>
      <c r="G37"/>
      <c r="H37"/>
      <c r="I37"/>
      <c r="AC37">
        <v>36</v>
      </c>
      <c r="AD37" s="18" t="s">
        <v>178</v>
      </c>
      <c r="AE37">
        <v>0</v>
      </c>
      <c r="AF37">
        <v>0</v>
      </c>
      <c r="AG37">
        <v>0</v>
      </c>
      <c r="AH37" s="64">
        <f>AH36+T_Chart[[#This Row],[ Total]]</f>
        <v>0</v>
      </c>
      <c r="AN37"/>
      <c r="AO37"/>
      <c r="AP37"/>
    </row>
    <row r="38" spans="5:42">
      <c r="E38" s="19"/>
      <c r="F38"/>
      <c r="G38"/>
      <c r="H38"/>
      <c r="I38"/>
      <c r="AC38">
        <v>37</v>
      </c>
      <c r="AD38" s="18" t="s">
        <v>179</v>
      </c>
      <c r="AE38">
        <v>0</v>
      </c>
      <c r="AF38">
        <v>0</v>
      </c>
      <c r="AG38">
        <v>0</v>
      </c>
      <c r="AH38" s="64">
        <f>AH37+T_Chart[[#This Row],[ Total]]</f>
        <v>0</v>
      </c>
      <c r="AN38"/>
      <c r="AO38"/>
      <c r="AP38"/>
    </row>
    <row r="39" spans="5:42">
      <c r="E39" s="19"/>
      <c r="F39"/>
      <c r="G39"/>
      <c r="H39"/>
      <c r="I39"/>
      <c r="AC39">
        <v>38</v>
      </c>
      <c r="AD39" s="18" t="s">
        <v>180</v>
      </c>
      <c r="AE39">
        <v>0</v>
      </c>
      <c r="AF39">
        <v>0</v>
      </c>
      <c r="AG39">
        <v>0</v>
      </c>
      <c r="AH39" s="64">
        <f>AH38+T_Chart[[#This Row],[ Total]]</f>
        <v>0</v>
      </c>
      <c r="AN39"/>
      <c r="AO39"/>
      <c r="AP39"/>
    </row>
    <row r="40" spans="5:42">
      <c r="E40" s="19"/>
      <c r="F40"/>
      <c r="G40"/>
      <c r="H40"/>
      <c r="I40"/>
      <c r="AC40">
        <v>39</v>
      </c>
      <c r="AD40" s="18" t="s">
        <v>149</v>
      </c>
      <c r="AE40">
        <v>0</v>
      </c>
      <c r="AF40">
        <v>0</v>
      </c>
      <c r="AG40">
        <v>0</v>
      </c>
      <c r="AH40" s="64">
        <f>AH39+T_Chart[[#This Row],[ Total]]</f>
        <v>0</v>
      </c>
      <c r="AN40"/>
      <c r="AO40"/>
      <c r="AP40"/>
    </row>
    <row r="41" spans="5:42">
      <c r="E41" s="19"/>
      <c r="F41"/>
      <c r="G41"/>
      <c r="H41"/>
      <c r="I41"/>
      <c r="AC41">
        <v>40</v>
      </c>
      <c r="AD41" s="18" t="s">
        <v>181</v>
      </c>
      <c r="AE41">
        <v>0</v>
      </c>
      <c r="AF41">
        <v>0</v>
      </c>
      <c r="AG41">
        <v>0</v>
      </c>
      <c r="AH41" s="64">
        <f>AH40+T_Chart[[#This Row],[ Total]]</f>
        <v>0</v>
      </c>
      <c r="AN41"/>
      <c r="AO41"/>
      <c r="AP41"/>
    </row>
    <row r="42" spans="5:42">
      <c r="E42" s="19"/>
      <c r="F42"/>
      <c r="G42"/>
      <c r="H42"/>
      <c r="I42"/>
      <c r="AC42">
        <v>41</v>
      </c>
      <c r="AD42" s="18" t="s">
        <v>182</v>
      </c>
      <c r="AE42">
        <v>0</v>
      </c>
      <c r="AF42">
        <v>0</v>
      </c>
      <c r="AG42">
        <v>0</v>
      </c>
      <c r="AH42" s="64">
        <f>AH41+T_Chart[[#This Row],[ Total]]</f>
        <v>0</v>
      </c>
      <c r="AN42"/>
      <c r="AO42"/>
      <c r="AP42"/>
    </row>
    <row r="43" spans="5:42">
      <c r="E43" s="19"/>
      <c r="F43"/>
      <c r="G43"/>
      <c r="H43"/>
      <c r="I43"/>
      <c r="AC43">
        <v>42</v>
      </c>
      <c r="AD43" s="18" t="s">
        <v>183</v>
      </c>
      <c r="AE43">
        <v>0</v>
      </c>
      <c r="AF43">
        <v>0</v>
      </c>
      <c r="AG43">
        <v>0</v>
      </c>
      <c r="AH43" s="64">
        <f>AH42+T_Chart[[#This Row],[ Total]]</f>
        <v>0</v>
      </c>
      <c r="AN43"/>
      <c r="AO43"/>
      <c r="AP43"/>
    </row>
    <row r="44" spans="5:42">
      <c r="E44" s="19"/>
      <c r="F44"/>
      <c r="G44"/>
      <c r="H44"/>
      <c r="I44"/>
      <c r="AC44">
        <v>43</v>
      </c>
      <c r="AD44" s="18" t="s">
        <v>184</v>
      </c>
      <c r="AE44">
        <v>0</v>
      </c>
      <c r="AF44">
        <v>0</v>
      </c>
      <c r="AG44">
        <v>0</v>
      </c>
      <c r="AH44" s="64">
        <f>AH43+T_Chart[[#This Row],[ Total]]</f>
        <v>0</v>
      </c>
      <c r="AN44"/>
      <c r="AO44"/>
      <c r="AP44"/>
    </row>
    <row r="45" spans="5:42">
      <c r="E45" s="19"/>
      <c r="F45"/>
      <c r="G45"/>
      <c r="H45"/>
      <c r="I45"/>
      <c r="AC45">
        <v>44</v>
      </c>
      <c r="AD45" s="18" t="s">
        <v>185</v>
      </c>
      <c r="AE45">
        <v>0</v>
      </c>
      <c r="AF45">
        <v>0</v>
      </c>
      <c r="AG45">
        <v>0</v>
      </c>
      <c r="AH45" s="64">
        <f>AH44+T_Chart[[#This Row],[ Total]]</f>
        <v>0</v>
      </c>
      <c r="AN45"/>
      <c r="AO45"/>
      <c r="AP45"/>
    </row>
    <row r="46" spans="5:42">
      <c r="E46" s="19"/>
      <c r="F46"/>
      <c r="G46"/>
      <c r="H46"/>
      <c r="I46"/>
      <c r="AC46">
        <v>45</v>
      </c>
      <c r="AD46" s="18" t="s">
        <v>186</v>
      </c>
      <c r="AE46">
        <v>0</v>
      </c>
      <c r="AF46">
        <v>0</v>
      </c>
      <c r="AG46">
        <v>0</v>
      </c>
      <c r="AH46" s="64">
        <f>AH45+T_Chart[[#This Row],[ Total]]</f>
        <v>0</v>
      </c>
      <c r="AN46"/>
      <c r="AO46"/>
      <c r="AP46"/>
    </row>
    <row r="47" spans="5:42">
      <c r="E47" s="19"/>
      <c r="F47"/>
      <c r="G47"/>
      <c r="H47"/>
      <c r="I47"/>
      <c r="AC47">
        <v>46</v>
      </c>
      <c r="AD47" s="18" t="s">
        <v>187</v>
      </c>
      <c r="AE47">
        <v>0</v>
      </c>
      <c r="AF47">
        <v>0</v>
      </c>
      <c r="AG47">
        <v>0</v>
      </c>
      <c r="AH47" s="64">
        <f>AH46+T_Chart[[#This Row],[ Total]]</f>
        <v>0</v>
      </c>
      <c r="AN47"/>
      <c r="AO47"/>
      <c r="AP47"/>
    </row>
    <row r="48" spans="5:42">
      <c r="E48" s="19"/>
      <c r="F48"/>
      <c r="G48"/>
      <c r="H48"/>
      <c r="I48"/>
      <c r="AC48">
        <v>47</v>
      </c>
      <c r="AD48" s="18" t="s">
        <v>188</v>
      </c>
      <c r="AE48">
        <v>0</v>
      </c>
      <c r="AF48">
        <v>0</v>
      </c>
      <c r="AG48">
        <v>0</v>
      </c>
      <c r="AH48" s="64">
        <f>AH47+T_Chart[[#This Row],[ Total]]</f>
        <v>0</v>
      </c>
      <c r="AN48"/>
      <c r="AO48"/>
      <c r="AP48"/>
    </row>
    <row r="49" spans="5:42">
      <c r="E49" s="19"/>
      <c r="F49"/>
      <c r="G49"/>
      <c r="H49"/>
      <c r="I49"/>
      <c r="AC49">
        <v>48</v>
      </c>
      <c r="AD49" s="18" t="s">
        <v>189</v>
      </c>
      <c r="AE49">
        <v>0</v>
      </c>
      <c r="AF49">
        <v>0</v>
      </c>
      <c r="AG49">
        <v>0</v>
      </c>
      <c r="AH49" s="64">
        <f>AH48+T_Chart[[#This Row],[ Total]]</f>
        <v>0</v>
      </c>
      <c r="AN49"/>
      <c r="AO49"/>
      <c r="AP49"/>
    </row>
    <row r="50" spans="5:42">
      <c r="E50" s="19"/>
      <c r="F50"/>
      <c r="G50"/>
      <c r="H50"/>
      <c r="I50"/>
      <c r="AC50">
        <v>49</v>
      </c>
      <c r="AD50" s="18" t="s">
        <v>190</v>
      </c>
      <c r="AE50">
        <v>0</v>
      </c>
      <c r="AF50">
        <v>0</v>
      </c>
      <c r="AG50">
        <v>0</v>
      </c>
      <c r="AH50" s="64">
        <f>AH49+T_Chart[[#This Row],[ Total]]</f>
        <v>0</v>
      </c>
      <c r="AN50"/>
      <c r="AO50"/>
      <c r="AP50"/>
    </row>
    <row r="51" spans="5:42">
      <c r="E51" s="19"/>
      <c r="F51"/>
      <c r="G51"/>
      <c r="H51"/>
      <c r="I51"/>
      <c r="AC51">
        <v>50</v>
      </c>
      <c r="AD51" s="18" t="s">
        <v>191</v>
      </c>
      <c r="AE51">
        <v>0</v>
      </c>
      <c r="AF51">
        <v>0</v>
      </c>
      <c r="AG51">
        <v>0</v>
      </c>
      <c r="AH51" s="64">
        <f>AH50+T_Chart[[#This Row],[ Total]]</f>
        <v>0</v>
      </c>
      <c r="AN51"/>
      <c r="AO51"/>
      <c r="AP51"/>
    </row>
    <row r="52" spans="5:42">
      <c r="E52" s="19"/>
      <c r="F52"/>
      <c r="G52"/>
      <c r="H52"/>
      <c r="I52"/>
      <c r="AC52">
        <v>51</v>
      </c>
      <c r="AD52" s="18" t="s">
        <v>192</v>
      </c>
      <c r="AE52">
        <v>0</v>
      </c>
      <c r="AF52">
        <v>0</v>
      </c>
      <c r="AG52">
        <v>0</v>
      </c>
      <c r="AH52" s="64">
        <f>AH51+T_Chart[[#This Row],[ Total]]</f>
        <v>0</v>
      </c>
      <c r="AN52"/>
      <c r="AO52"/>
      <c r="AP52"/>
    </row>
    <row r="53" spans="5:42">
      <c r="E53" s="19"/>
      <c r="F53"/>
      <c r="G53"/>
      <c r="H53"/>
      <c r="I53"/>
      <c r="AC53">
        <v>52</v>
      </c>
      <c r="AD53" s="18" t="s">
        <v>143</v>
      </c>
      <c r="AE53">
        <v>0</v>
      </c>
      <c r="AF53">
        <v>0</v>
      </c>
      <c r="AG53">
        <v>0</v>
      </c>
      <c r="AH53" s="64">
        <f>AH52+T_Chart[[#This Row],[ Total]]</f>
        <v>0</v>
      </c>
      <c r="AN53"/>
      <c r="AO53"/>
      <c r="AP53"/>
    </row>
    <row r="54" spans="5:42">
      <c r="E54" s="19"/>
      <c r="F54"/>
      <c r="G54"/>
      <c r="H54"/>
      <c r="I54"/>
      <c r="AC54">
        <v>53</v>
      </c>
      <c r="AD54" s="18" t="s">
        <v>193</v>
      </c>
      <c r="AE54">
        <v>0</v>
      </c>
      <c r="AF54">
        <v>0</v>
      </c>
      <c r="AG54">
        <v>0</v>
      </c>
      <c r="AH54" s="64">
        <f>AH53+T_Chart[[#This Row],[ Total]]</f>
        <v>0</v>
      </c>
      <c r="AN54"/>
      <c r="AO54"/>
      <c r="AP54"/>
    </row>
    <row r="55" spans="5:42">
      <c r="AE55">
        <v>0</v>
      </c>
      <c r="AF55">
        <v>0</v>
      </c>
      <c r="AG55">
        <v>0</v>
      </c>
      <c r="AH55" s="64">
        <f>AH54+T_Chart[[#This Row],[ Total]]</f>
        <v>0</v>
      </c>
    </row>
  </sheetData>
  <phoneticPr fontId="1" type="noConversion"/>
  <pageMargins left="0.25" right="0.25" top="0.75" bottom="0.75" header="0.3" footer="0.3"/>
  <pageSetup paperSize="9" scale="5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B33-7A92-46C2-9AC0-7A3A0477F3CF}">
  <dimension ref="A1:G54"/>
  <sheetViews>
    <sheetView rightToLeft="1" workbookViewId="0">
      <selection sqref="A1:E54"/>
    </sheetView>
  </sheetViews>
  <sheetFormatPr defaultRowHeight="17.25"/>
  <cols>
    <col min="1" max="1" width="6.25" style="13" bestFit="1" customWidth="1"/>
    <col min="2" max="2" width="9.125" style="13" bestFit="1" customWidth="1"/>
    <col min="3" max="3" width="8.875" style="10" bestFit="1" customWidth="1"/>
    <col min="4" max="4" width="12.125" style="6" bestFit="1" customWidth="1"/>
    <col min="5" max="5" width="8.625" style="6" bestFit="1" customWidth="1"/>
    <col min="6" max="6" width="6.625" style="11" bestFit="1" customWidth="1"/>
    <col min="7" max="7" width="9" style="10" bestFit="1" customWidth="1"/>
  </cols>
  <sheetData>
    <row r="1" spans="1:7">
      <c r="A1" s="29" t="s">
        <v>0</v>
      </c>
      <c r="B1" s="29" t="s">
        <v>138</v>
      </c>
      <c r="C1" s="29" t="s">
        <v>4</v>
      </c>
      <c r="D1" s="29" t="s">
        <v>148</v>
      </c>
      <c r="E1" s="29" t="s">
        <v>195</v>
      </c>
      <c r="F1"/>
      <c r="G1"/>
    </row>
    <row r="2" spans="1:7">
      <c r="B2" s="10"/>
      <c r="C2" s="6"/>
      <c r="E2" s="10"/>
      <c r="F2"/>
      <c r="G2"/>
    </row>
    <row r="3" spans="1:7">
      <c r="F3"/>
      <c r="G3"/>
    </row>
    <row r="4" spans="1:7">
      <c r="F4"/>
      <c r="G4"/>
    </row>
    <row r="5" spans="1:7">
      <c r="F5"/>
      <c r="G5"/>
    </row>
    <row r="6" spans="1:7">
      <c r="F6"/>
      <c r="G6"/>
    </row>
    <row r="7" spans="1:7">
      <c r="F7"/>
      <c r="G7"/>
    </row>
    <row r="8" spans="1:7">
      <c r="F8"/>
      <c r="G8"/>
    </row>
    <row r="9" spans="1:7">
      <c r="F9"/>
      <c r="G9"/>
    </row>
    <row r="10" spans="1:7">
      <c r="F10"/>
      <c r="G10"/>
    </row>
    <row r="11" spans="1:7">
      <c r="F11"/>
      <c r="G11"/>
    </row>
    <row r="12" spans="1:7">
      <c r="F12"/>
      <c r="G12"/>
    </row>
    <row r="13" spans="1:7">
      <c r="F13"/>
      <c r="G13"/>
    </row>
    <row r="14" spans="1:7">
      <c r="F14"/>
      <c r="G14"/>
    </row>
    <row r="15" spans="1:7">
      <c r="F15"/>
      <c r="G15"/>
    </row>
    <row r="16" spans="1:7">
      <c r="F16"/>
      <c r="G16"/>
    </row>
    <row r="17" spans="6:7">
      <c r="F17"/>
      <c r="G17"/>
    </row>
    <row r="18" spans="6:7">
      <c r="F18"/>
      <c r="G18"/>
    </row>
    <row r="19" spans="6:7">
      <c r="F19"/>
      <c r="G19"/>
    </row>
    <row r="20" spans="6:7">
      <c r="F20"/>
      <c r="G20"/>
    </row>
    <row r="21" spans="6:7">
      <c r="F21"/>
      <c r="G21"/>
    </row>
    <row r="22" spans="6:7">
      <c r="F22"/>
      <c r="G22"/>
    </row>
    <row r="23" spans="6:7">
      <c r="F23"/>
      <c r="G23"/>
    </row>
    <row r="24" spans="6:7">
      <c r="F24"/>
      <c r="G24"/>
    </row>
    <row r="25" spans="6:7">
      <c r="F25"/>
      <c r="G25"/>
    </row>
    <row r="26" spans="6:7">
      <c r="F26"/>
      <c r="G26"/>
    </row>
    <row r="27" spans="6:7">
      <c r="F27"/>
      <c r="G27"/>
    </row>
    <row r="28" spans="6:7">
      <c r="F28"/>
      <c r="G28"/>
    </row>
    <row r="29" spans="6:7">
      <c r="F29"/>
      <c r="G29"/>
    </row>
    <row r="30" spans="6:7">
      <c r="F30"/>
      <c r="G30"/>
    </row>
    <row r="31" spans="6:7">
      <c r="F31"/>
      <c r="G31"/>
    </row>
    <row r="32" spans="6:7">
      <c r="F32"/>
      <c r="G32"/>
    </row>
    <row r="33" spans="6:7">
      <c r="F33"/>
      <c r="G33"/>
    </row>
    <row r="34" spans="6:7">
      <c r="F34"/>
      <c r="G34"/>
    </row>
    <row r="35" spans="6:7">
      <c r="F35"/>
      <c r="G35"/>
    </row>
    <row r="36" spans="6:7">
      <c r="F36"/>
      <c r="G36"/>
    </row>
    <row r="37" spans="6:7">
      <c r="F37"/>
      <c r="G37"/>
    </row>
    <row r="38" spans="6:7">
      <c r="F38"/>
      <c r="G38"/>
    </row>
    <row r="39" spans="6:7">
      <c r="F39"/>
      <c r="G39"/>
    </row>
    <row r="40" spans="6:7">
      <c r="F40"/>
      <c r="G40"/>
    </row>
    <row r="41" spans="6:7">
      <c r="F41"/>
      <c r="G41"/>
    </row>
    <row r="42" spans="6:7">
      <c r="F42"/>
      <c r="G42"/>
    </row>
    <row r="43" spans="6:7">
      <c r="F43"/>
      <c r="G43"/>
    </row>
    <row r="44" spans="6:7">
      <c r="F44"/>
      <c r="G44"/>
    </row>
    <row r="45" spans="6:7">
      <c r="F45"/>
      <c r="G45"/>
    </row>
    <row r="46" spans="6:7">
      <c r="F46"/>
      <c r="G46"/>
    </row>
    <row r="47" spans="6:7">
      <c r="F47"/>
      <c r="G47"/>
    </row>
    <row r="48" spans="6:7">
      <c r="F48"/>
      <c r="G48"/>
    </row>
    <row r="49" spans="6:7">
      <c r="F49"/>
      <c r="G49"/>
    </row>
    <row r="50" spans="6:7">
      <c r="F50"/>
      <c r="G50"/>
    </row>
    <row r="51" spans="6:7">
      <c r="F51"/>
      <c r="G51"/>
    </row>
    <row r="52" spans="6:7">
      <c r="F52"/>
      <c r="G52"/>
    </row>
    <row r="53" spans="6:7">
      <c r="F53"/>
      <c r="G53"/>
    </row>
    <row r="54" spans="6:7">
      <c r="F54"/>
      <c r="G5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6193-B6B3-497A-95D2-75437D481631}">
  <dimension ref="A1:F54"/>
  <sheetViews>
    <sheetView rightToLeft="1" workbookViewId="0">
      <selection sqref="A1:E54"/>
    </sheetView>
  </sheetViews>
  <sheetFormatPr defaultRowHeight="17.25"/>
  <cols>
    <col min="1" max="1" width="6.25" style="13" bestFit="1" customWidth="1"/>
    <col min="2" max="2" width="9.125" style="13" bestFit="1" customWidth="1"/>
    <col min="3" max="3" width="8.875" style="10" bestFit="1" customWidth="1"/>
    <col min="4" max="4" width="12.125" style="6" bestFit="1" customWidth="1"/>
    <col min="5" max="5" width="8.625" style="6" bestFit="1" customWidth="1"/>
    <col min="6" max="6" width="9" style="10" bestFit="1" customWidth="1"/>
  </cols>
  <sheetData>
    <row r="1" spans="1:6">
      <c r="A1" s="30" t="s">
        <v>0</v>
      </c>
      <c r="B1" s="30" t="s">
        <v>138</v>
      </c>
      <c r="C1" s="30" t="s">
        <v>4</v>
      </c>
      <c r="D1" s="30" t="s">
        <v>148</v>
      </c>
      <c r="E1" s="30" t="s">
        <v>195</v>
      </c>
      <c r="F1"/>
    </row>
    <row r="2" spans="1:6">
      <c r="B2" s="10" t="s">
        <v>150</v>
      </c>
      <c r="C2" s="6"/>
      <c r="E2" s="10">
        <f>VLOOKUP(T_TabularReceive[[#This Row],[WeekNo]],T_Week[],2,0)</f>
        <v>1</v>
      </c>
      <c r="F2"/>
    </row>
    <row r="3" spans="1:6">
      <c r="B3" s="10" t="s">
        <v>144</v>
      </c>
      <c r="C3" s="6" t="s">
        <v>199</v>
      </c>
      <c r="E3" s="10">
        <f>VLOOKUP(T_TabularReceive[[#This Row],[WeekNo]],T_Week[],2,0)</f>
        <v>2</v>
      </c>
      <c r="F3"/>
    </row>
    <row r="4" spans="1:6">
      <c r="B4" s="10" t="s">
        <v>151</v>
      </c>
      <c r="C4" s="6"/>
      <c r="E4" s="10">
        <f>VLOOKUP(T_TabularReceive[[#This Row],[WeekNo]],T_Week[],2,0)</f>
        <v>3</v>
      </c>
      <c r="F4"/>
    </row>
    <row r="5" spans="1:6">
      <c r="B5" s="10" t="s">
        <v>139</v>
      </c>
      <c r="C5" s="6"/>
      <c r="E5" s="10">
        <f>VLOOKUP(T_TabularReceive[[#This Row],[WeekNo]],T_Week[],2,0)</f>
        <v>4</v>
      </c>
      <c r="F5"/>
    </row>
    <row r="6" spans="1:6">
      <c r="B6" s="10" t="s">
        <v>152</v>
      </c>
      <c r="C6" s="6"/>
      <c r="E6" s="10">
        <f>VLOOKUP(T_TabularReceive[[#This Row],[WeekNo]],T_Week[],2,0)</f>
        <v>5</v>
      </c>
      <c r="F6"/>
    </row>
    <row r="7" spans="1:6">
      <c r="B7" s="10" t="s">
        <v>153</v>
      </c>
      <c r="C7" s="6"/>
      <c r="E7" s="10">
        <f>VLOOKUP(T_TabularReceive[[#This Row],[WeekNo]],T_Week[],2,0)</f>
        <v>6</v>
      </c>
      <c r="F7"/>
    </row>
    <row r="8" spans="1:6">
      <c r="B8" s="10" t="s">
        <v>154</v>
      </c>
      <c r="C8" s="6"/>
      <c r="E8" s="10">
        <f>VLOOKUP(T_TabularReceive[[#This Row],[WeekNo]],T_Week[],2,0)</f>
        <v>7</v>
      </c>
      <c r="F8"/>
    </row>
    <row r="9" spans="1:6">
      <c r="B9" s="10" t="s">
        <v>155</v>
      </c>
      <c r="C9" s="6"/>
      <c r="E9" s="10">
        <f>VLOOKUP(T_TabularReceive[[#This Row],[WeekNo]],T_Week[],2,0)</f>
        <v>8</v>
      </c>
      <c r="F9"/>
    </row>
    <row r="10" spans="1:6">
      <c r="B10" s="10" t="s">
        <v>142</v>
      </c>
      <c r="C10" s="6"/>
      <c r="E10" s="10">
        <f>VLOOKUP(T_TabularReceive[[#This Row],[WeekNo]],T_Week[],2,0)</f>
        <v>9</v>
      </c>
      <c r="F10"/>
    </row>
    <row r="11" spans="1:6">
      <c r="B11" s="10" t="s">
        <v>156</v>
      </c>
      <c r="C11" s="6"/>
      <c r="E11" s="10">
        <f>VLOOKUP(T_TabularReceive[[#This Row],[WeekNo]],T_Week[],2,0)</f>
        <v>10</v>
      </c>
      <c r="F11"/>
    </row>
    <row r="12" spans="1:6">
      <c r="B12" s="10" t="s">
        <v>141</v>
      </c>
      <c r="C12" s="6"/>
      <c r="E12" s="10">
        <f>VLOOKUP(T_TabularReceive[[#This Row],[WeekNo]],T_Week[],2,0)</f>
        <v>11</v>
      </c>
      <c r="F12"/>
    </row>
    <row r="13" spans="1:6">
      <c r="B13" s="10" t="s">
        <v>157</v>
      </c>
      <c r="C13" s="6"/>
      <c r="E13" s="10">
        <f>VLOOKUP(T_TabularReceive[[#This Row],[WeekNo]],T_Week[],2,0)</f>
        <v>12</v>
      </c>
      <c r="F13"/>
    </row>
    <row r="14" spans="1:6">
      <c r="B14" s="10" t="s">
        <v>158</v>
      </c>
      <c r="C14" s="6"/>
      <c r="E14" s="10">
        <f>VLOOKUP(T_TabularReceive[[#This Row],[WeekNo]],T_Week[],2,0)</f>
        <v>13</v>
      </c>
      <c r="F14"/>
    </row>
    <row r="15" spans="1:6">
      <c r="B15" s="10" t="s">
        <v>159</v>
      </c>
      <c r="C15" s="6"/>
      <c r="E15" s="10">
        <f>VLOOKUP(T_TabularReceive[[#This Row],[WeekNo]],T_Week[],2,0)</f>
        <v>14</v>
      </c>
      <c r="F15"/>
    </row>
    <row r="16" spans="1:6">
      <c r="B16" s="10" t="s">
        <v>160</v>
      </c>
      <c r="C16" s="6"/>
      <c r="E16" s="10">
        <f>VLOOKUP(T_TabularReceive[[#This Row],[WeekNo]],T_Week[],2,0)</f>
        <v>15</v>
      </c>
      <c r="F16"/>
    </row>
    <row r="17" spans="2:6">
      <c r="B17" s="10" t="s">
        <v>161</v>
      </c>
      <c r="C17" s="6"/>
      <c r="E17" s="10">
        <f>VLOOKUP(T_TabularReceive[[#This Row],[WeekNo]],T_Week[],2,0)</f>
        <v>16</v>
      </c>
      <c r="F17"/>
    </row>
    <row r="18" spans="2:6">
      <c r="B18" s="10" t="s">
        <v>162</v>
      </c>
      <c r="C18" s="6"/>
      <c r="E18" s="10">
        <f>VLOOKUP(T_TabularReceive[[#This Row],[WeekNo]],T_Week[],2,0)</f>
        <v>17</v>
      </c>
      <c r="F18"/>
    </row>
    <row r="19" spans="2:6">
      <c r="B19" s="10" t="s">
        <v>163</v>
      </c>
      <c r="C19" s="6"/>
      <c r="E19" s="10">
        <f>VLOOKUP(T_TabularReceive[[#This Row],[WeekNo]],T_Week[],2,0)</f>
        <v>18</v>
      </c>
      <c r="F19"/>
    </row>
    <row r="20" spans="2:6">
      <c r="B20" s="10" t="s">
        <v>164</v>
      </c>
      <c r="C20" s="6"/>
      <c r="E20" s="10">
        <f>VLOOKUP(T_TabularReceive[[#This Row],[WeekNo]],T_Week[],2,0)</f>
        <v>19</v>
      </c>
      <c r="F20"/>
    </row>
    <row r="21" spans="2:6">
      <c r="B21" s="10" t="s">
        <v>140</v>
      </c>
      <c r="C21" s="6"/>
      <c r="E21" s="10">
        <f>VLOOKUP(T_TabularReceive[[#This Row],[WeekNo]],T_Week[],2,0)</f>
        <v>20</v>
      </c>
      <c r="F21"/>
    </row>
    <row r="22" spans="2:6">
      <c r="B22" s="10" t="s">
        <v>165</v>
      </c>
      <c r="C22" s="6"/>
      <c r="E22" s="10">
        <f>VLOOKUP(T_TabularReceive[[#This Row],[WeekNo]],T_Week[],2,0)</f>
        <v>21</v>
      </c>
      <c r="F22"/>
    </row>
    <row r="23" spans="2:6">
      <c r="B23" s="10" t="s">
        <v>166</v>
      </c>
      <c r="C23" s="6"/>
      <c r="E23" s="10">
        <f>VLOOKUP(T_TabularReceive[[#This Row],[WeekNo]],T_Week[],2,0)</f>
        <v>22</v>
      </c>
      <c r="F23"/>
    </row>
    <row r="24" spans="2:6">
      <c r="B24" s="10" t="s">
        <v>167</v>
      </c>
      <c r="C24" s="6"/>
      <c r="E24" s="10">
        <f>VLOOKUP(T_TabularReceive[[#This Row],[WeekNo]],T_Week[],2,0)</f>
        <v>23</v>
      </c>
      <c r="F24"/>
    </row>
    <row r="25" spans="2:6">
      <c r="B25" s="10" t="s">
        <v>168</v>
      </c>
      <c r="C25" s="6"/>
      <c r="E25" s="10">
        <f>VLOOKUP(T_TabularReceive[[#This Row],[WeekNo]],T_Week[],2,0)</f>
        <v>24</v>
      </c>
      <c r="F25"/>
    </row>
    <row r="26" spans="2:6">
      <c r="B26" s="10" t="s">
        <v>146</v>
      </c>
      <c r="C26" s="6"/>
      <c r="E26" s="10">
        <f>VLOOKUP(T_TabularReceive[[#This Row],[WeekNo]],T_Week[],2,0)</f>
        <v>25</v>
      </c>
      <c r="F26"/>
    </row>
    <row r="27" spans="2:6">
      <c r="B27" s="10" t="s">
        <v>169</v>
      </c>
      <c r="C27" s="6"/>
      <c r="E27" s="10">
        <f>VLOOKUP(T_TabularReceive[[#This Row],[WeekNo]],T_Week[],2,0)</f>
        <v>26</v>
      </c>
      <c r="F27"/>
    </row>
    <row r="28" spans="2:6">
      <c r="B28" s="10" t="s">
        <v>170</v>
      </c>
      <c r="C28" s="6"/>
      <c r="E28" s="10">
        <f>VLOOKUP(T_TabularReceive[[#This Row],[WeekNo]],T_Week[],2,0)</f>
        <v>27</v>
      </c>
      <c r="F28"/>
    </row>
    <row r="29" spans="2:6">
      <c r="B29" s="10" t="s">
        <v>171</v>
      </c>
      <c r="C29" s="6"/>
      <c r="E29" s="10">
        <f>VLOOKUP(T_TabularReceive[[#This Row],[WeekNo]],T_Week[],2,0)</f>
        <v>28</v>
      </c>
      <c r="F29"/>
    </row>
    <row r="30" spans="2:6">
      <c r="B30" s="10" t="s">
        <v>172</v>
      </c>
      <c r="C30" s="6"/>
      <c r="E30" s="10">
        <f>VLOOKUP(T_TabularReceive[[#This Row],[WeekNo]],T_Week[],2,0)</f>
        <v>29</v>
      </c>
      <c r="F30"/>
    </row>
    <row r="31" spans="2:6">
      <c r="B31" s="10" t="s">
        <v>147</v>
      </c>
      <c r="C31" s="6"/>
      <c r="E31" s="10">
        <f>VLOOKUP(T_TabularReceive[[#This Row],[WeekNo]],T_Week[],2,0)</f>
        <v>30</v>
      </c>
      <c r="F31"/>
    </row>
    <row r="32" spans="2:6">
      <c r="B32" s="10" t="s">
        <v>173</v>
      </c>
      <c r="C32" s="6"/>
      <c r="E32" s="10">
        <f>VLOOKUP(T_TabularReceive[[#This Row],[WeekNo]],T_Week[],2,0)</f>
        <v>31</v>
      </c>
      <c r="F32"/>
    </row>
    <row r="33" spans="2:6">
      <c r="B33" s="10" t="s">
        <v>174</v>
      </c>
      <c r="C33" s="6"/>
      <c r="E33" s="10">
        <f>VLOOKUP(T_TabularReceive[[#This Row],[WeekNo]],T_Week[],2,0)</f>
        <v>32</v>
      </c>
      <c r="F33"/>
    </row>
    <row r="34" spans="2:6">
      <c r="B34" s="10" t="s">
        <v>175</v>
      </c>
      <c r="C34" s="6"/>
      <c r="E34" s="10">
        <f>VLOOKUP(T_TabularReceive[[#This Row],[WeekNo]],T_Week[],2,0)</f>
        <v>33</v>
      </c>
      <c r="F34"/>
    </row>
    <row r="35" spans="2:6">
      <c r="B35" s="10" t="s">
        <v>176</v>
      </c>
      <c r="C35" s="6"/>
      <c r="E35" s="10">
        <f>VLOOKUP(T_TabularReceive[[#This Row],[WeekNo]],T_Week[],2,0)</f>
        <v>34</v>
      </c>
      <c r="F35"/>
    </row>
    <row r="36" spans="2:6">
      <c r="B36" s="10" t="s">
        <v>177</v>
      </c>
      <c r="C36" s="6"/>
      <c r="E36" s="10">
        <f>VLOOKUP(T_TabularReceive[[#This Row],[WeekNo]],T_Week[],2,0)</f>
        <v>35</v>
      </c>
      <c r="F36"/>
    </row>
    <row r="37" spans="2:6">
      <c r="B37" s="10" t="s">
        <v>178</v>
      </c>
      <c r="C37" s="6"/>
      <c r="E37" s="10">
        <f>VLOOKUP(T_TabularReceive[[#This Row],[WeekNo]],T_Week[],2,0)</f>
        <v>36</v>
      </c>
      <c r="F37"/>
    </row>
    <row r="38" spans="2:6">
      <c r="B38" s="10" t="s">
        <v>179</v>
      </c>
      <c r="C38" s="6"/>
      <c r="E38" s="10">
        <f>VLOOKUP(T_TabularReceive[[#This Row],[WeekNo]],T_Week[],2,0)</f>
        <v>37</v>
      </c>
      <c r="F38"/>
    </row>
    <row r="39" spans="2:6">
      <c r="B39" s="10" t="s">
        <v>180</v>
      </c>
      <c r="C39" s="6"/>
      <c r="E39" s="10">
        <f>VLOOKUP(T_TabularReceive[[#This Row],[WeekNo]],T_Week[],2,0)</f>
        <v>38</v>
      </c>
      <c r="F39"/>
    </row>
    <row r="40" spans="2:6">
      <c r="B40" s="10" t="s">
        <v>149</v>
      </c>
      <c r="C40" s="6"/>
      <c r="E40" s="10">
        <f>VLOOKUP(T_TabularReceive[[#This Row],[WeekNo]],T_Week[],2,0)</f>
        <v>39</v>
      </c>
      <c r="F40"/>
    </row>
    <row r="41" spans="2:6">
      <c r="B41" s="10" t="s">
        <v>181</v>
      </c>
      <c r="C41" s="6"/>
      <c r="E41" s="10">
        <f>VLOOKUP(T_TabularReceive[[#This Row],[WeekNo]],T_Week[],2,0)</f>
        <v>40</v>
      </c>
      <c r="F41"/>
    </row>
    <row r="42" spans="2:6">
      <c r="B42" s="10" t="s">
        <v>182</v>
      </c>
      <c r="C42" s="6"/>
      <c r="E42" s="10">
        <f>VLOOKUP(T_TabularReceive[[#This Row],[WeekNo]],T_Week[],2,0)</f>
        <v>41</v>
      </c>
      <c r="F42"/>
    </row>
    <row r="43" spans="2:6">
      <c r="B43" s="10" t="s">
        <v>183</v>
      </c>
      <c r="C43" s="6"/>
      <c r="E43" s="10">
        <f>VLOOKUP(T_TabularReceive[[#This Row],[WeekNo]],T_Week[],2,0)</f>
        <v>42</v>
      </c>
      <c r="F43"/>
    </row>
    <row r="44" spans="2:6">
      <c r="B44" s="10" t="s">
        <v>184</v>
      </c>
      <c r="C44" s="6"/>
      <c r="E44" s="10">
        <f>VLOOKUP(T_TabularReceive[[#This Row],[WeekNo]],T_Week[],2,0)</f>
        <v>43</v>
      </c>
      <c r="F44"/>
    </row>
    <row r="45" spans="2:6">
      <c r="B45" s="10" t="s">
        <v>185</v>
      </c>
      <c r="C45" s="6"/>
      <c r="E45" s="10">
        <f>VLOOKUP(T_TabularReceive[[#This Row],[WeekNo]],T_Week[],2,0)</f>
        <v>44</v>
      </c>
      <c r="F45"/>
    </row>
    <row r="46" spans="2:6">
      <c r="B46" s="10" t="s">
        <v>186</v>
      </c>
      <c r="C46" s="6"/>
      <c r="E46" s="10">
        <f>VLOOKUP(T_TabularReceive[[#This Row],[WeekNo]],T_Week[],2,0)</f>
        <v>45</v>
      </c>
      <c r="F46"/>
    </row>
    <row r="47" spans="2:6">
      <c r="B47" s="10" t="s">
        <v>187</v>
      </c>
      <c r="C47" s="6"/>
      <c r="E47" s="10">
        <f>VLOOKUP(T_TabularReceive[[#This Row],[WeekNo]],T_Week[],2,0)</f>
        <v>46</v>
      </c>
      <c r="F47"/>
    </row>
    <row r="48" spans="2:6">
      <c r="B48" s="10" t="s">
        <v>188</v>
      </c>
      <c r="C48" s="6"/>
      <c r="E48" s="10">
        <f>VLOOKUP(T_TabularReceive[[#This Row],[WeekNo]],T_Week[],2,0)</f>
        <v>47</v>
      </c>
      <c r="F48"/>
    </row>
    <row r="49" spans="2:6">
      <c r="B49" s="10" t="s">
        <v>189</v>
      </c>
      <c r="C49" s="6"/>
      <c r="E49" s="10">
        <f>VLOOKUP(T_TabularReceive[[#This Row],[WeekNo]],T_Week[],2,0)</f>
        <v>48</v>
      </c>
      <c r="F49"/>
    </row>
    <row r="50" spans="2:6">
      <c r="B50" s="10" t="s">
        <v>190</v>
      </c>
      <c r="C50" s="6"/>
      <c r="E50" s="10">
        <f>VLOOKUP(T_TabularReceive[[#This Row],[WeekNo]],T_Week[],2,0)</f>
        <v>49</v>
      </c>
      <c r="F50"/>
    </row>
    <row r="51" spans="2:6">
      <c r="B51" s="10" t="s">
        <v>191</v>
      </c>
      <c r="C51" s="6"/>
      <c r="E51" s="10">
        <f>VLOOKUP(T_TabularReceive[[#This Row],[WeekNo]],T_Week[],2,0)</f>
        <v>50</v>
      </c>
      <c r="F51"/>
    </row>
    <row r="52" spans="2:6">
      <c r="B52" s="10" t="s">
        <v>192</v>
      </c>
      <c r="C52" s="6"/>
      <c r="E52" s="10">
        <f>VLOOKUP(T_TabularReceive[[#This Row],[WeekNo]],T_Week[],2,0)</f>
        <v>51</v>
      </c>
      <c r="F52"/>
    </row>
    <row r="53" spans="2:6">
      <c r="B53" s="10" t="s">
        <v>143</v>
      </c>
      <c r="C53" s="6"/>
      <c r="E53" s="10">
        <f>VLOOKUP(T_TabularReceive[[#This Row],[WeekNo]],T_Week[],2,0)</f>
        <v>52</v>
      </c>
      <c r="F53"/>
    </row>
    <row r="54" spans="2:6">
      <c r="B54" s="10" t="s">
        <v>193</v>
      </c>
      <c r="C54" s="6"/>
      <c r="E54" s="10">
        <f>VLOOKUP(T_TabularReceive[[#This Row],[WeekNo]],T_Week[],2,0)</f>
        <v>53</v>
      </c>
      <c r="F5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41DE-D2AB-46FE-8AC1-F09E50386FC8}">
  <sheetPr>
    <tabColor rgb="FFC4D4CB"/>
    <outlinePr summaryRight="0"/>
  </sheetPr>
  <dimension ref="A1:BP5"/>
  <sheetViews>
    <sheetView showGridLines="0" rightToLeft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RowHeight="14.25" outlineLevelCol="1"/>
  <cols>
    <col min="1" max="2" width="20.625" customWidth="1"/>
    <col min="3" max="3" width="20.625" customWidth="1" collapsed="1"/>
    <col min="4" max="8" width="30.625" hidden="1" customWidth="1" outlineLevel="1"/>
    <col min="9" max="9" width="20.625" customWidth="1" collapsed="1"/>
    <col min="10" max="13" width="30.625" hidden="1" customWidth="1" outlineLevel="1"/>
    <col min="14" max="14" width="20.625" customWidth="1" collapsed="1"/>
    <col min="15" max="19" width="30.625" hidden="1" customWidth="1" outlineLevel="1"/>
    <col min="20" max="20" width="20.625" customWidth="1" collapsed="1"/>
    <col min="21" max="24" width="30.625" hidden="1" customWidth="1" outlineLevel="1"/>
    <col min="25" max="25" width="20.625" customWidth="1" collapsed="1"/>
    <col min="26" max="30" width="30.625" hidden="1" customWidth="1" outlineLevel="1"/>
    <col min="31" max="31" width="20.625" customWidth="1" collapsed="1"/>
    <col min="32" max="35" width="30.625" hidden="1" customWidth="1" outlineLevel="1"/>
    <col min="36" max="36" width="20.625" customWidth="1" collapsed="1"/>
    <col min="37" max="40" width="30.625" hidden="1" customWidth="1" outlineLevel="1"/>
    <col min="41" max="41" width="20.625" customWidth="1" collapsed="1"/>
    <col min="42" max="46" width="30.625" hidden="1" customWidth="1" outlineLevel="1"/>
    <col min="47" max="47" width="20.625" customWidth="1" collapsed="1"/>
    <col min="48" max="51" width="30.625" hidden="1" customWidth="1" outlineLevel="1"/>
    <col min="52" max="52" width="20.625" customWidth="1" collapsed="1"/>
    <col min="53" max="56" width="30.625" hidden="1" customWidth="1" outlineLevel="1"/>
    <col min="57" max="57" width="20.625" customWidth="1" collapsed="1"/>
    <col min="58" max="61" width="30.625" hidden="1" customWidth="1" outlineLevel="1"/>
    <col min="62" max="62" width="20.625" customWidth="1" collapsed="1"/>
    <col min="63" max="67" width="30.625" hidden="1" customWidth="1" outlineLevel="1"/>
  </cols>
  <sheetData>
    <row r="1" spans="1:67" ht="6.95" customHeight="1"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6"/>
      <c r="AK1" s="56"/>
      <c r="AL1" s="56"/>
      <c r="AM1" s="56"/>
      <c r="AN1" s="56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</row>
    <row r="2" spans="1:67" s="46" customFormat="1" ht="30" customHeight="1">
      <c r="A2" s="28" t="s">
        <v>197</v>
      </c>
      <c r="C2" s="9" t="s">
        <v>16</v>
      </c>
      <c r="D2" s="47" t="s">
        <v>137</v>
      </c>
      <c r="E2" s="47" t="s">
        <v>17</v>
      </c>
      <c r="F2" s="47" t="s">
        <v>19</v>
      </c>
      <c r="G2" s="47" t="s">
        <v>18</v>
      </c>
      <c r="H2" s="47" t="s">
        <v>20</v>
      </c>
      <c r="I2" s="9" t="s">
        <v>21</v>
      </c>
      <c r="J2" s="47" t="s">
        <v>97</v>
      </c>
      <c r="K2" s="47" t="s">
        <v>98</v>
      </c>
      <c r="L2" s="47" t="s">
        <v>99</v>
      </c>
      <c r="M2" s="47" t="s">
        <v>100</v>
      </c>
      <c r="N2" s="9" t="s">
        <v>26</v>
      </c>
      <c r="O2" s="47" t="s">
        <v>101</v>
      </c>
      <c r="P2" s="47" t="s">
        <v>102</v>
      </c>
      <c r="Q2" s="47" t="s">
        <v>103</v>
      </c>
      <c r="R2" s="47" t="s">
        <v>104</v>
      </c>
      <c r="S2" s="47" t="s">
        <v>105</v>
      </c>
      <c r="T2" s="50" t="s">
        <v>27</v>
      </c>
      <c r="U2" s="47" t="s">
        <v>106</v>
      </c>
      <c r="V2" s="47" t="s">
        <v>107</v>
      </c>
      <c r="W2" s="47" t="s">
        <v>108</v>
      </c>
      <c r="X2" s="47" t="s">
        <v>109</v>
      </c>
      <c r="Y2" s="50" t="s">
        <v>28</v>
      </c>
      <c r="Z2" s="47" t="s">
        <v>110</v>
      </c>
      <c r="AA2" s="47" t="s">
        <v>111</v>
      </c>
      <c r="AB2" s="47" t="s">
        <v>112</v>
      </c>
      <c r="AC2" s="47" t="s">
        <v>113</v>
      </c>
      <c r="AD2" s="47" t="s">
        <v>114</v>
      </c>
      <c r="AE2" s="50" t="s">
        <v>29</v>
      </c>
      <c r="AF2" s="47" t="s">
        <v>115</v>
      </c>
      <c r="AG2" s="47" t="s">
        <v>116</v>
      </c>
      <c r="AH2" s="47" t="s">
        <v>118</v>
      </c>
      <c r="AI2" s="47" t="s">
        <v>117</v>
      </c>
      <c r="AJ2" s="9" t="s">
        <v>30</v>
      </c>
      <c r="AK2" s="47" t="s">
        <v>119</v>
      </c>
      <c r="AL2" s="47" t="s">
        <v>120</v>
      </c>
      <c r="AM2" s="47" t="s">
        <v>121</v>
      </c>
      <c r="AN2" s="47" t="s">
        <v>122</v>
      </c>
      <c r="AO2" s="9" t="s">
        <v>31</v>
      </c>
      <c r="AP2" s="47" t="s">
        <v>123</v>
      </c>
      <c r="AQ2" s="47" t="s">
        <v>124</v>
      </c>
      <c r="AR2" s="47" t="s">
        <v>125</v>
      </c>
      <c r="AS2" s="47" t="s">
        <v>126</v>
      </c>
      <c r="AT2" s="47" t="s">
        <v>127</v>
      </c>
      <c r="AU2" s="9" t="s">
        <v>32</v>
      </c>
      <c r="AV2" s="47" t="s">
        <v>128</v>
      </c>
      <c r="AW2" s="47" t="s">
        <v>116</v>
      </c>
      <c r="AX2" s="47" t="s">
        <v>118</v>
      </c>
      <c r="AY2" s="47" t="s">
        <v>129</v>
      </c>
      <c r="AZ2" s="50" t="s">
        <v>33</v>
      </c>
      <c r="BA2" s="47" t="s">
        <v>130</v>
      </c>
      <c r="BB2" s="47" t="s">
        <v>131</v>
      </c>
      <c r="BC2" s="47" t="s">
        <v>132</v>
      </c>
      <c r="BD2" s="47" t="s">
        <v>133</v>
      </c>
      <c r="BE2" s="50" t="s">
        <v>34</v>
      </c>
      <c r="BF2" s="47" t="s">
        <v>134</v>
      </c>
      <c r="BG2" s="47" t="s">
        <v>111</v>
      </c>
      <c r="BH2" s="47" t="s">
        <v>112</v>
      </c>
      <c r="BI2" s="47" t="s">
        <v>113</v>
      </c>
      <c r="BJ2" s="50" t="s">
        <v>35</v>
      </c>
      <c r="BK2" s="44" t="s">
        <v>135</v>
      </c>
      <c r="BL2" s="44" t="s">
        <v>124</v>
      </c>
      <c r="BM2" s="44" t="s">
        <v>125</v>
      </c>
      <c r="BN2" s="44" t="s">
        <v>126</v>
      </c>
      <c r="BO2" s="45" t="s">
        <v>136</v>
      </c>
    </row>
    <row r="3" spans="1:67" s="43" customFormat="1" ht="39.950000000000003" customHeight="1">
      <c r="A3" s="48" t="s">
        <v>0</v>
      </c>
      <c r="B3" s="48" t="s">
        <v>4</v>
      </c>
      <c r="C3" s="49" t="s">
        <v>22</v>
      </c>
      <c r="D3" s="48" t="s">
        <v>24</v>
      </c>
      <c r="E3" s="48" t="s">
        <v>49</v>
      </c>
      <c r="F3" s="48" t="s">
        <v>50</v>
      </c>
      <c r="G3" s="48" t="s">
        <v>51</v>
      </c>
      <c r="H3" s="48" t="s">
        <v>52</v>
      </c>
      <c r="I3" s="49" t="s">
        <v>23</v>
      </c>
      <c r="J3" s="48" t="s">
        <v>53</v>
      </c>
      <c r="K3" s="48" t="s">
        <v>54</v>
      </c>
      <c r="L3" s="48" t="s">
        <v>55</v>
      </c>
      <c r="M3" s="48" t="s">
        <v>56</v>
      </c>
      <c r="N3" s="49" t="s">
        <v>36</v>
      </c>
      <c r="O3" s="48" t="s">
        <v>57</v>
      </c>
      <c r="P3" s="48" t="s">
        <v>58</v>
      </c>
      <c r="Q3" s="48" t="s">
        <v>59</v>
      </c>
      <c r="R3" s="48" t="s">
        <v>25</v>
      </c>
      <c r="S3" s="48" t="s">
        <v>60</v>
      </c>
      <c r="T3" s="49" t="s">
        <v>37</v>
      </c>
      <c r="U3" s="48" t="s">
        <v>61</v>
      </c>
      <c r="V3" s="48" t="s">
        <v>46</v>
      </c>
      <c r="W3" s="48" t="s">
        <v>62</v>
      </c>
      <c r="X3" s="48" t="s">
        <v>63</v>
      </c>
      <c r="Y3" s="49" t="s">
        <v>38</v>
      </c>
      <c r="Z3" s="48" t="s">
        <v>64</v>
      </c>
      <c r="AA3" s="48" t="s">
        <v>65</v>
      </c>
      <c r="AB3" s="48" t="s">
        <v>66</v>
      </c>
      <c r="AC3" s="48" t="s">
        <v>67</v>
      </c>
      <c r="AD3" s="48" t="s">
        <v>68</v>
      </c>
      <c r="AE3" s="49" t="s">
        <v>39</v>
      </c>
      <c r="AF3" s="48" t="s">
        <v>69</v>
      </c>
      <c r="AG3" s="48" t="s">
        <v>70</v>
      </c>
      <c r="AH3" s="48" t="s">
        <v>71</v>
      </c>
      <c r="AI3" s="48" t="s">
        <v>72</v>
      </c>
      <c r="AJ3" s="49" t="s">
        <v>40</v>
      </c>
      <c r="AK3" s="48" t="s">
        <v>73</v>
      </c>
      <c r="AL3" s="48" t="s">
        <v>74</v>
      </c>
      <c r="AM3" s="48" t="s">
        <v>75</v>
      </c>
      <c r="AN3" s="48" t="s">
        <v>76</v>
      </c>
      <c r="AO3" s="49" t="s">
        <v>41</v>
      </c>
      <c r="AP3" s="48" t="s">
        <v>77</v>
      </c>
      <c r="AQ3" s="48" t="s">
        <v>78</v>
      </c>
      <c r="AR3" s="48" t="s">
        <v>79</v>
      </c>
      <c r="AS3" s="48" t="s">
        <v>80</v>
      </c>
      <c r="AT3" s="48" t="s">
        <v>81</v>
      </c>
      <c r="AU3" s="49" t="s">
        <v>42</v>
      </c>
      <c r="AV3" s="48" t="s">
        <v>82</v>
      </c>
      <c r="AW3" s="48" t="s">
        <v>83</v>
      </c>
      <c r="AX3" s="48" t="s">
        <v>84</v>
      </c>
      <c r="AY3" s="48" t="s">
        <v>85</v>
      </c>
      <c r="AZ3" s="49" t="s">
        <v>43</v>
      </c>
      <c r="BA3" s="48" t="s">
        <v>86</v>
      </c>
      <c r="BB3" s="48" t="s">
        <v>87</v>
      </c>
      <c r="BC3" s="48" t="s">
        <v>88</v>
      </c>
      <c r="BD3" s="48" t="s">
        <v>89</v>
      </c>
      <c r="BE3" s="49" t="s">
        <v>44</v>
      </c>
      <c r="BF3" s="48" t="s">
        <v>90</v>
      </c>
      <c r="BG3" s="48" t="s">
        <v>91</v>
      </c>
      <c r="BH3" s="48" t="s">
        <v>92</v>
      </c>
      <c r="BI3" s="48" t="s">
        <v>93</v>
      </c>
      <c r="BJ3" s="49" t="s">
        <v>45</v>
      </c>
      <c r="BK3" s="48" t="s">
        <v>94</v>
      </c>
      <c r="BL3" s="48" t="s">
        <v>95</v>
      </c>
      <c r="BM3" s="48" t="s">
        <v>47</v>
      </c>
      <c r="BN3" s="48" t="s">
        <v>48</v>
      </c>
      <c r="BO3" s="48" t="s">
        <v>96</v>
      </c>
    </row>
    <row r="4" spans="1:67" ht="18">
      <c r="A4" s="21"/>
      <c r="B4" s="22">
        <f>SUM(T_Receive[[#This Row],[Summary 01]],T_Receive[[#This Row],[Summary 02]],T_Receive[[#This Row],[Summary 03]],T_Receive[[#This Row],[Summary 04]],T_Receive[[#This Row],[Summary 05]],T_Receive[[#This Row],[Summary 06]],T_Receive[[#This Row],[Summary 07]],T_Receive[[#This Row],[Summary 08]],T_Receive[[#This Row],[Summary 09]],T_Receive[[#This Row],[Summary 10]],T_Receive[[#This Row],[Summary 11]],T_Receive[[#This Row],[Summary 12]])</f>
        <v>0</v>
      </c>
      <c r="C4" s="20">
        <f>SUM(T_Receive[[#This Row],[w12]:[w16]])</f>
        <v>0</v>
      </c>
      <c r="D4" s="23"/>
      <c r="E4" s="23" t="s">
        <v>199</v>
      </c>
      <c r="F4" s="23"/>
      <c r="G4" s="23"/>
      <c r="H4" s="23"/>
      <c r="I4" s="20">
        <f>SUM(T_Receive[[#This Row],[w17]:[w20]])</f>
        <v>0</v>
      </c>
      <c r="J4" s="23"/>
      <c r="K4" s="23"/>
      <c r="L4" s="23"/>
      <c r="M4" s="23"/>
      <c r="N4" s="20">
        <f>SUM(T_Receive[[#This Row],[w21]:[w25]])</f>
        <v>0</v>
      </c>
      <c r="O4" s="24"/>
      <c r="P4" s="24"/>
      <c r="Q4" s="24"/>
      <c r="R4" s="23"/>
      <c r="S4" s="23"/>
      <c r="T4" s="20">
        <f>SUM(T_Receive[[#This Row],[w26]:[w29]])</f>
        <v>0</v>
      </c>
      <c r="U4" s="23"/>
      <c r="V4" s="23"/>
      <c r="W4" s="23"/>
      <c r="X4" s="23"/>
      <c r="Y4" s="20">
        <f>SUM(T_Receive[[#This Row],[w30]:[w34]])</f>
        <v>0</v>
      </c>
      <c r="Z4" s="23"/>
      <c r="AA4" s="23"/>
      <c r="AB4" s="23"/>
      <c r="AC4" s="23"/>
      <c r="AD4" s="23"/>
      <c r="AE4" s="20">
        <f>SUM(T_Receive[[#This Row],[w35]:[w38]])</f>
        <v>0</v>
      </c>
      <c r="AF4" s="23"/>
      <c r="AG4" s="23"/>
      <c r="AH4" s="23"/>
      <c r="AI4" s="23"/>
      <c r="AJ4" s="20">
        <f>SUM(T_Receive[[#This Row],[w39]:[w42]])</f>
        <v>0</v>
      </c>
      <c r="AK4" s="23"/>
      <c r="AL4" s="23"/>
      <c r="AM4" s="23"/>
      <c r="AN4" s="23"/>
      <c r="AO4" s="20">
        <f>SUM(T_Receive[[#This Row],[w43]:[w47]])</f>
        <v>0</v>
      </c>
      <c r="AP4" s="23"/>
      <c r="AQ4" s="23"/>
      <c r="AR4" s="23"/>
      <c r="AS4" s="23"/>
      <c r="AT4" s="23"/>
      <c r="AU4" s="20">
        <f>SUM(T_Receive[[#This Row],[w48]:[w51]])</f>
        <v>0</v>
      </c>
      <c r="AV4" s="23"/>
      <c r="AW4" s="23"/>
      <c r="AX4" s="23"/>
      <c r="AY4" s="23"/>
      <c r="AZ4" s="20">
        <f>SUM(T_Receive[[#This Row],[w52]:[w03]])</f>
        <v>0</v>
      </c>
      <c r="BA4" s="23"/>
      <c r="BB4" s="23"/>
      <c r="BC4" s="23"/>
      <c r="BD4" s="23"/>
      <c r="BE4" s="20">
        <f>SUM(T_Receive[[#This Row],[w04]:[w07]])</f>
        <v>0</v>
      </c>
      <c r="BF4" s="23"/>
      <c r="BG4" s="23"/>
      <c r="BH4" s="23"/>
      <c r="BI4" s="23"/>
      <c r="BJ4" s="20">
        <f>SUM(T_Receive[[#This Row],[w08]:[w12'']])</f>
        <v>0</v>
      </c>
      <c r="BK4" s="23"/>
      <c r="BL4" s="23"/>
      <c r="BM4" s="23"/>
      <c r="BN4" s="23"/>
      <c r="BO4" s="23"/>
    </row>
    <row r="5" spans="1:67" ht="18">
      <c r="A5" s="1" t="s">
        <v>145</v>
      </c>
      <c r="B5" s="25">
        <f>SUBTOTAL(109,T_Receive[Amount])/10000000</f>
        <v>0</v>
      </c>
      <c r="C5" s="26">
        <f>SUBTOTAL(109,T_Receive[Summary 01])</f>
        <v>0</v>
      </c>
      <c r="D5" s="26">
        <f>SUBTOTAL(109,T_Receive[w12])</f>
        <v>0</v>
      </c>
      <c r="E5" s="26">
        <f>SUBTOTAL(109,T_Receive[w13])</f>
        <v>0</v>
      </c>
      <c r="F5" s="26">
        <f>SUBTOTAL(109,T_Receive[w14])</f>
        <v>0</v>
      </c>
      <c r="G5" s="26">
        <f>SUBTOTAL(109,T_Receive[w15])</f>
        <v>0</v>
      </c>
      <c r="H5" s="26">
        <f>SUBTOTAL(109,T_Receive[w16])</f>
        <v>0</v>
      </c>
      <c r="I5" s="26">
        <f>SUBTOTAL(109,T_Receive[Summary 02])</f>
        <v>0</v>
      </c>
      <c r="J5" s="26">
        <f>SUBTOTAL(109,T_Receive[w17])</f>
        <v>0</v>
      </c>
      <c r="K5" s="26">
        <f>SUBTOTAL(109,T_Receive[w18])</f>
        <v>0</v>
      </c>
      <c r="L5" s="26">
        <f>SUBTOTAL(109,T_Receive[w19])</f>
        <v>0</v>
      </c>
      <c r="M5" s="26">
        <f>SUBTOTAL(109,T_Receive[w20])</f>
        <v>0</v>
      </c>
      <c r="N5" s="26">
        <f>SUBTOTAL(109,T_Receive[Summary 03])</f>
        <v>0</v>
      </c>
      <c r="O5" s="26">
        <f>SUBTOTAL(109,T_Receive[w21])</f>
        <v>0</v>
      </c>
      <c r="P5" s="26">
        <f>SUBTOTAL(109,T_Receive[w22])</f>
        <v>0</v>
      </c>
      <c r="Q5" s="26">
        <f>SUBTOTAL(109,T_Receive[w23])</f>
        <v>0</v>
      </c>
      <c r="R5" s="26">
        <f>SUBTOTAL(109,T_Receive[w24])</f>
        <v>0</v>
      </c>
      <c r="S5" s="26">
        <f>SUBTOTAL(109,T_Receive[w25])</f>
        <v>0</v>
      </c>
      <c r="T5" s="26">
        <f>SUBTOTAL(109,T_Receive[Summary 04])</f>
        <v>0</v>
      </c>
      <c r="U5" s="26">
        <f>SUBTOTAL(109,T_Receive[w26])</f>
        <v>0</v>
      </c>
      <c r="V5" s="26">
        <f>SUBTOTAL(109,T_Receive[w27])</f>
        <v>0</v>
      </c>
      <c r="W5" s="26">
        <f>SUBTOTAL(109,T_Receive[w28])</f>
        <v>0</v>
      </c>
      <c r="X5" s="26">
        <f>SUBTOTAL(109,T_Receive[w29])</f>
        <v>0</v>
      </c>
      <c r="Y5" s="26">
        <f>SUBTOTAL(109,T_Receive[Summary 05])</f>
        <v>0</v>
      </c>
      <c r="Z5" s="26">
        <f>SUBTOTAL(109,T_Receive[w30])</f>
        <v>0</v>
      </c>
      <c r="AA5" s="26">
        <f>SUBTOTAL(109,T_Receive[w31])</f>
        <v>0</v>
      </c>
      <c r="AB5" s="26">
        <f>SUBTOTAL(109,T_Receive[w32])</f>
        <v>0</v>
      </c>
      <c r="AC5" s="26">
        <f>SUBTOTAL(109,T_Receive[w33])</f>
        <v>0</v>
      </c>
      <c r="AD5" s="26">
        <f>SUBTOTAL(109,T_Receive[w34])</f>
        <v>0</v>
      </c>
      <c r="AE5" s="26">
        <f>SUBTOTAL(109,T_Receive[Summary 06])</f>
        <v>0</v>
      </c>
      <c r="AF5" s="26">
        <f>SUBTOTAL(109,T_Receive[w35])</f>
        <v>0</v>
      </c>
      <c r="AG5" s="26">
        <f>SUBTOTAL(109,T_Receive[w36])</f>
        <v>0</v>
      </c>
      <c r="AH5" s="26">
        <f>SUBTOTAL(109,T_Receive[w37])</f>
        <v>0</v>
      </c>
      <c r="AI5" s="26">
        <f>SUBTOTAL(109,T_Receive[w38])</f>
        <v>0</v>
      </c>
      <c r="AJ5" s="26">
        <f>SUBTOTAL(109,T_Receive[Summary 07])</f>
        <v>0</v>
      </c>
      <c r="AK5" s="26">
        <f>SUBTOTAL(109,T_Receive[w39])</f>
        <v>0</v>
      </c>
      <c r="AL5" s="26">
        <f>SUBTOTAL(109,T_Receive[w40])</f>
        <v>0</v>
      </c>
      <c r="AM5" s="26">
        <f>SUBTOTAL(109,T_Receive[w41])</f>
        <v>0</v>
      </c>
      <c r="AN5" s="26">
        <f>SUBTOTAL(109,T_Receive[w42])</f>
        <v>0</v>
      </c>
      <c r="AO5" s="26">
        <f>SUBTOTAL(109,T_Receive[Summary 08])</f>
        <v>0</v>
      </c>
      <c r="AP5" s="26">
        <f>SUBTOTAL(109,T_Receive[w43])</f>
        <v>0</v>
      </c>
      <c r="AQ5" s="26">
        <f>SUBTOTAL(109,T_Receive[w44])</f>
        <v>0</v>
      </c>
      <c r="AR5" s="26">
        <f>SUBTOTAL(109,T_Receive[w45])</f>
        <v>0</v>
      </c>
      <c r="AS5" s="26">
        <f>SUBTOTAL(109,T_Receive[w46])</f>
        <v>0</v>
      </c>
      <c r="AT5" s="26">
        <f>SUBTOTAL(109,T_Receive[w47])</f>
        <v>0</v>
      </c>
      <c r="AU5" s="26">
        <f>SUBTOTAL(109,T_Receive[Summary 09])</f>
        <v>0</v>
      </c>
      <c r="AV5" s="26">
        <f>SUBTOTAL(109,T_Receive[w48])</f>
        <v>0</v>
      </c>
      <c r="AW5" s="26">
        <f>SUBTOTAL(109,T_Receive[w49])</f>
        <v>0</v>
      </c>
      <c r="AX5" s="26">
        <f>SUBTOTAL(109,T_Receive[w50])</f>
        <v>0</v>
      </c>
      <c r="AY5" s="26">
        <f>SUBTOTAL(109,T_Receive[w51])</f>
        <v>0</v>
      </c>
      <c r="AZ5" s="26">
        <f>SUBTOTAL(109,T_Receive[Summary 10])</f>
        <v>0</v>
      </c>
      <c r="BA5" s="26">
        <f>SUBTOTAL(109,T_Receive[w52])</f>
        <v>0</v>
      </c>
      <c r="BB5" s="26">
        <f>SUBTOTAL(109,T_Receive[w01])</f>
        <v>0</v>
      </c>
      <c r="BC5" s="26">
        <f>SUBTOTAL(109,T_Receive[w02])</f>
        <v>0</v>
      </c>
      <c r="BD5" s="26">
        <f>SUBTOTAL(109,T_Receive[w03])</f>
        <v>0</v>
      </c>
      <c r="BE5" s="26">
        <f>SUBTOTAL(109,T_Receive[Summary 11])</f>
        <v>0</v>
      </c>
      <c r="BF5" s="26">
        <f>SUBTOTAL(109,T_Receive[w04])</f>
        <v>0</v>
      </c>
      <c r="BG5" s="26">
        <f>SUBTOTAL(109,T_Receive[w05])</f>
        <v>0</v>
      </c>
      <c r="BH5" s="26">
        <f>SUBTOTAL(109,T_Receive[w06])</f>
        <v>0</v>
      </c>
      <c r="BI5" s="26">
        <f>SUBTOTAL(109,T_Receive[w07])</f>
        <v>0</v>
      </c>
      <c r="BJ5" s="26">
        <f>SUBTOTAL(109,T_Receive[Summary 12])</f>
        <v>0</v>
      </c>
      <c r="BK5" s="26">
        <f>SUBTOTAL(109,T_Receive[w08])</f>
        <v>0</v>
      </c>
      <c r="BL5" s="26">
        <f>SUBTOTAL(109,T_Receive[w09])</f>
        <v>0</v>
      </c>
      <c r="BM5" s="26">
        <f>SUBTOTAL(109,T_Receive[w10])</f>
        <v>0</v>
      </c>
      <c r="BN5" s="26">
        <f>SUBTOTAL(109,T_Receive[w11])</f>
        <v>0</v>
      </c>
      <c r="BO5" s="26">
        <f>SUBTOTAL(109,T_Receive[w12''])</f>
        <v>0</v>
      </c>
    </row>
  </sheetData>
  <mergeCells count="12">
    <mergeCell ref="BJ1:BO1"/>
    <mergeCell ref="C1:H1"/>
    <mergeCell ref="I1:M1"/>
    <mergeCell ref="N1:S1"/>
    <mergeCell ref="T1:X1"/>
    <mergeCell ref="Y1:AD1"/>
    <mergeCell ref="AE1:AI1"/>
    <mergeCell ref="AJ1:AN1"/>
    <mergeCell ref="AO1:AT1"/>
    <mergeCell ref="AU1:AY1"/>
    <mergeCell ref="AZ1:BD1"/>
    <mergeCell ref="BE1:BI1"/>
  </mergeCells>
  <phoneticPr fontId="1" type="noConversion"/>
  <dataValidations count="1">
    <dataValidation allowBlank="1" showInputMessage="1" showErrorMessage="1" error="محاز به انتخاب از مواردی که در لیست کشویی‌ست هستید" sqref="B4:C4 I4 BE4 AU4 AO4 AJ4 AE4 Y4 T4 N4 AZ4 BJ4" xr:uid="{D930B734-13E8-4FA6-A507-6C37FCF19D1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B4E2-D8F0-430F-83B8-F2CC47F935C5}">
  <sheetPr>
    <tabColor rgb="FFFF9999"/>
    <outlinePr summaryRight="0"/>
  </sheetPr>
  <dimension ref="A1:DQ5"/>
  <sheetViews>
    <sheetView showGridLines="0" rightToLeft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RowHeight="14.25" outlineLevelCol="1"/>
  <cols>
    <col min="1" max="2" width="20.625" customWidth="1"/>
    <col min="3" max="3" width="20.625" customWidth="1" collapsed="1"/>
    <col min="4" max="8" width="30.625" hidden="1" customWidth="1" outlineLevel="1"/>
    <col min="9" max="9" width="20.625" customWidth="1" collapsed="1"/>
    <col min="10" max="13" width="30.625" hidden="1" customWidth="1" outlineLevel="1"/>
    <col min="14" max="14" width="20.625" customWidth="1" collapsed="1"/>
    <col min="15" max="19" width="30.625" hidden="1" customWidth="1" outlineLevel="1"/>
    <col min="20" max="20" width="20.625" customWidth="1" collapsed="1"/>
    <col min="21" max="24" width="30.625" hidden="1" customWidth="1" outlineLevel="1"/>
    <col min="25" max="25" width="20.625" customWidth="1" collapsed="1"/>
    <col min="26" max="30" width="30.625" hidden="1" customWidth="1" outlineLevel="1"/>
    <col min="31" max="31" width="20.625" customWidth="1" collapsed="1"/>
    <col min="32" max="35" width="30.625" hidden="1" customWidth="1" outlineLevel="1"/>
    <col min="36" max="36" width="20.625" customWidth="1" collapsed="1"/>
    <col min="37" max="40" width="30.625" hidden="1" customWidth="1" outlineLevel="1"/>
    <col min="41" max="41" width="20.625" customWidth="1" collapsed="1"/>
    <col min="42" max="46" width="30.625" hidden="1" customWidth="1" outlineLevel="1"/>
    <col min="47" max="47" width="20.625" customWidth="1" collapsed="1"/>
    <col min="48" max="51" width="30.625" hidden="1" customWidth="1" outlineLevel="1"/>
    <col min="52" max="52" width="20.625" customWidth="1" collapsed="1"/>
    <col min="53" max="56" width="30.625" hidden="1" customWidth="1" outlineLevel="1"/>
    <col min="57" max="57" width="20.625" customWidth="1" collapsed="1"/>
    <col min="58" max="61" width="30.625" hidden="1" customWidth="1" outlineLevel="1"/>
    <col min="62" max="62" width="20.625" customWidth="1" collapsed="1"/>
    <col min="63" max="67" width="30.625" hidden="1" customWidth="1" outlineLevel="1"/>
  </cols>
  <sheetData>
    <row r="1" spans="1:67" ht="6.95" customHeight="1"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35"/>
      <c r="O1" s="8"/>
      <c r="P1" s="8"/>
      <c r="Q1" s="8"/>
      <c r="R1" s="8"/>
      <c r="S1" s="8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7"/>
      <c r="AK1" s="57"/>
      <c r="AL1" s="57"/>
      <c r="AM1" s="57"/>
      <c r="AN1" s="57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</row>
    <row r="2" spans="1:67" s="39" customFormat="1" ht="30" customHeight="1">
      <c r="A2" s="28" t="s">
        <v>196</v>
      </c>
      <c r="C2" s="33" t="s">
        <v>16</v>
      </c>
      <c r="D2" s="40" t="s">
        <v>137</v>
      </c>
      <c r="E2" s="40" t="s">
        <v>17</v>
      </c>
      <c r="F2" s="40" t="s">
        <v>19</v>
      </c>
      <c r="G2" s="40" t="s">
        <v>18</v>
      </c>
      <c r="H2" s="40" t="s">
        <v>20</v>
      </c>
      <c r="I2" s="33" t="s">
        <v>21</v>
      </c>
      <c r="J2" s="40" t="s">
        <v>97</v>
      </c>
      <c r="K2" s="40" t="s">
        <v>98</v>
      </c>
      <c r="L2" s="40" t="s">
        <v>99</v>
      </c>
      <c r="M2" s="40" t="s">
        <v>100</v>
      </c>
      <c r="N2" s="33" t="s">
        <v>26</v>
      </c>
      <c r="O2" s="40" t="s">
        <v>101</v>
      </c>
      <c r="P2" s="40" t="s">
        <v>102</v>
      </c>
      <c r="Q2" s="40" t="s">
        <v>103</v>
      </c>
      <c r="R2" s="40" t="s">
        <v>104</v>
      </c>
      <c r="S2" s="40" t="s">
        <v>105</v>
      </c>
      <c r="T2" s="34" t="s">
        <v>27</v>
      </c>
      <c r="U2" s="40" t="s">
        <v>106</v>
      </c>
      <c r="V2" s="40" t="s">
        <v>107</v>
      </c>
      <c r="W2" s="40" t="s">
        <v>108</v>
      </c>
      <c r="X2" s="40" t="s">
        <v>109</v>
      </c>
      <c r="Y2" s="34" t="s">
        <v>28</v>
      </c>
      <c r="Z2" s="40" t="s">
        <v>110</v>
      </c>
      <c r="AA2" s="40" t="s">
        <v>111</v>
      </c>
      <c r="AB2" s="40" t="s">
        <v>112</v>
      </c>
      <c r="AC2" s="40" t="s">
        <v>113</v>
      </c>
      <c r="AD2" s="40" t="s">
        <v>114</v>
      </c>
      <c r="AE2" s="34" t="s">
        <v>29</v>
      </c>
      <c r="AF2" s="40" t="s">
        <v>115</v>
      </c>
      <c r="AG2" s="40" t="s">
        <v>116</v>
      </c>
      <c r="AH2" s="40" t="s">
        <v>118</v>
      </c>
      <c r="AI2" s="40" t="s">
        <v>117</v>
      </c>
      <c r="AJ2" s="33" t="s">
        <v>30</v>
      </c>
      <c r="AK2" s="40" t="s">
        <v>119</v>
      </c>
      <c r="AL2" s="40" t="s">
        <v>120</v>
      </c>
      <c r="AM2" s="40" t="s">
        <v>121</v>
      </c>
      <c r="AN2" s="40" t="s">
        <v>122</v>
      </c>
      <c r="AO2" s="33" t="s">
        <v>31</v>
      </c>
      <c r="AP2" s="40" t="s">
        <v>123</v>
      </c>
      <c r="AQ2" s="40" t="s">
        <v>124</v>
      </c>
      <c r="AR2" s="40" t="s">
        <v>125</v>
      </c>
      <c r="AS2" s="40" t="s">
        <v>126</v>
      </c>
      <c r="AT2" s="40" t="s">
        <v>127</v>
      </c>
      <c r="AU2" s="33" t="s">
        <v>32</v>
      </c>
      <c r="AV2" s="40" t="s">
        <v>128</v>
      </c>
      <c r="AW2" s="40" t="s">
        <v>116</v>
      </c>
      <c r="AX2" s="40" t="s">
        <v>118</v>
      </c>
      <c r="AY2" s="40" t="s">
        <v>129</v>
      </c>
      <c r="AZ2" s="34" t="s">
        <v>33</v>
      </c>
      <c r="BA2" s="40" t="s">
        <v>130</v>
      </c>
      <c r="BB2" s="40" t="s">
        <v>131</v>
      </c>
      <c r="BC2" s="40" t="s">
        <v>132</v>
      </c>
      <c r="BD2" s="40" t="s">
        <v>133</v>
      </c>
      <c r="BE2" s="34" t="s">
        <v>34</v>
      </c>
      <c r="BF2" s="40" t="s">
        <v>134</v>
      </c>
      <c r="BG2" s="40" t="s">
        <v>111</v>
      </c>
      <c r="BH2" s="40" t="s">
        <v>112</v>
      </c>
      <c r="BI2" s="40" t="s">
        <v>113</v>
      </c>
      <c r="BJ2" s="34" t="s">
        <v>35</v>
      </c>
      <c r="BK2" s="41" t="s">
        <v>135</v>
      </c>
      <c r="BL2" s="41" t="s">
        <v>124</v>
      </c>
      <c r="BM2" s="41" t="s">
        <v>125</v>
      </c>
      <c r="BN2" s="41" t="s">
        <v>126</v>
      </c>
      <c r="BO2" s="42" t="s">
        <v>136</v>
      </c>
    </row>
    <row r="3" spans="1:67" s="38" customFormat="1" ht="39.950000000000003" customHeight="1">
      <c r="A3" s="36" t="s">
        <v>0</v>
      </c>
      <c r="B3" s="36" t="s">
        <v>4</v>
      </c>
      <c r="C3" s="37" t="s">
        <v>22</v>
      </c>
      <c r="D3" s="36" t="s">
        <v>24</v>
      </c>
      <c r="E3" s="36" t="s">
        <v>49</v>
      </c>
      <c r="F3" s="36" t="s">
        <v>50</v>
      </c>
      <c r="G3" s="36" t="s">
        <v>51</v>
      </c>
      <c r="H3" s="36" t="s">
        <v>52</v>
      </c>
      <c r="I3" s="37" t="s">
        <v>23</v>
      </c>
      <c r="J3" s="36" t="s">
        <v>53</v>
      </c>
      <c r="K3" s="36" t="s">
        <v>54</v>
      </c>
      <c r="L3" s="36" t="s">
        <v>55</v>
      </c>
      <c r="M3" s="36" t="s">
        <v>56</v>
      </c>
      <c r="N3" s="37" t="s">
        <v>36</v>
      </c>
      <c r="O3" s="36" t="s">
        <v>57</v>
      </c>
      <c r="P3" s="36" t="s">
        <v>58</v>
      </c>
      <c r="Q3" s="36" t="s">
        <v>59</v>
      </c>
      <c r="R3" s="36" t="s">
        <v>25</v>
      </c>
      <c r="S3" s="36" t="s">
        <v>60</v>
      </c>
      <c r="T3" s="37" t="s">
        <v>37</v>
      </c>
      <c r="U3" s="36" t="s">
        <v>61</v>
      </c>
      <c r="V3" s="36" t="s">
        <v>46</v>
      </c>
      <c r="W3" s="36" t="s">
        <v>62</v>
      </c>
      <c r="X3" s="36" t="s">
        <v>63</v>
      </c>
      <c r="Y3" s="37" t="s">
        <v>38</v>
      </c>
      <c r="Z3" s="36" t="s">
        <v>64</v>
      </c>
      <c r="AA3" s="36" t="s">
        <v>65</v>
      </c>
      <c r="AB3" s="36" t="s">
        <v>66</v>
      </c>
      <c r="AC3" s="36" t="s">
        <v>67</v>
      </c>
      <c r="AD3" s="36" t="s">
        <v>68</v>
      </c>
      <c r="AE3" s="37" t="s">
        <v>39</v>
      </c>
      <c r="AF3" s="36" t="s">
        <v>69</v>
      </c>
      <c r="AG3" s="36" t="s">
        <v>70</v>
      </c>
      <c r="AH3" s="36" t="s">
        <v>71</v>
      </c>
      <c r="AI3" s="36" t="s">
        <v>72</v>
      </c>
      <c r="AJ3" s="37" t="s">
        <v>40</v>
      </c>
      <c r="AK3" s="36" t="s">
        <v>73</v>
      </c>
      <c r="AL3" s="36" t="s">
        <v>74</v>
      </c>
      <c r="AM3" s="36" t="s">
        <v>75</v>
      </c>
      <c r="AN3" s="36" t="s">
        <v>76</v>
      </c>
      <c r="AO3" s="37" t="s">
        <v>41</v>
      </c>
      <c r="AP3" s="36" t="s">
        <v>77</v>
      </c>
      <c r="AQ3" s="36" t="s">
        <v>78</v>
      </c>
      <c r="AR3" s="36" t="s">
        <v>79</v>
      </c>
      <c r="AS3" s="36" t="s">
        <v>80</v>
      </c>
      <c r="AT3" s="36" t="s">
        <v>81</v>
      </c>
      <c r="AU3" s="37" t="s">
        <v>42</v>
      </c>
      <c r="AV3" s="36" t="s">
        <v>82</v>
      </c>
      <c r="AW3" s="36" t="s">
        <v>83</v>
      </c>
      <c r="AX3" s="36" t="s">
        <v>84</v>
      </c>
      <c r="AY3" s="36" t="s">
        <v>85</v>
      </c>
      <c r="AZ3" s="37" t="s">
        <v>43</v>
      </c>
      <c r="BA3" s="36" t="s">
        <v>86</v>
      </c>
      <c r="BB3" s="36" t="s">
        <v>87</v>
      </c>
      <c r="BC3" s="36" t="s">
        <v>88</v>
      </c>
      <c r="BD3" s="36" t="s">
        <v>89</v>
      </c>
      <c r="BE3" s="37" t="s">
        <v>44</v>
      </c>
      <c r="BF3" s="36" t="s">
        <v>90</v>
      </c>
      <c r="BG3" s="36" t="s">
        <v>91</v>
      </c>
      <c r="BH3" s="36" t="s">
        <v>92</v>
      </c>
      <c r="BI3" s="36" t="s">
        <v>93</v>
      </c>
      <c r="BJ3" s="37" t="s">
        <v>45</v>
      </c>
      <c r="BK3" s="36" t="s">
        <v>94</v>
      </c>
      <c r="BL3" s="36" t="s">
        <v>95</v>
      </c>
      <c r="BM3" s="36" t="s">
        <v>47</v>
      </c>
      <c r="BN3" s="36" t="s">
        <v>48</v>
      </c>
      <c r="BO3" s="36" t="s">
        <v>96</v>
      </c>
    </row>
    <row r="4" spans="1:67" ht="18">
      <c r="A4" s="21"/>
      <c r="B4" s="22">
        <f>SUM(T_Pay[[#This Row],[Summary 01]],T_Pay[[#This Row],[Summary 02]],T_Pay[[#This Row],[Summary 03]],T_Pay[[#This Row],[Summary 04]],T_Pay[[#This Row],[Summary 05]],T_Pay[[#This Row],[Summary 06]],T_Pay[[#This Row],[Summary 07]],T_Pay[[#This Row],[Summary 08]],T_Pay[[#This Row],[Summary 09]],T_Pay[[#This Row],[Summary 10]],T_Pay[[#This Row],[Summary 11]],T_Pay[[#This Row],[Summary 12]])</f>
        <v>0</v>
      </c>
      <c r="C4" s="20">
        <f>SUM(T_Pay[[#This Row],[w12]:[w16]])</f>
        <v>0</v>
      </c>
      <c r="D4" s="23"/>
      <c r="E4" s="23"/>
      <c r="F4" s="23"/>
      <c r="G4" s="23"/>
      <c r="H4" s="23"/>
      <c r="I4" s="20">
        <f>SUM(T_Pay[[#This Row],[w17]:[w20]])</f>
        <v>0</v>
      </c>
      <c r="J4" s="23"/>
      <c r="K4" s="23"/>
      <c r="L4" s="23"/>
      <c r="M4" s="23"/>
      <c r="N4" s="20">
        <f>SUM(T_Pay[[#This Row],[w21]:[w25]])</f>
        <v>0</v>
      </c>
      <c r="O4" s="24"/>
      <c r="P4" s="24"/>
      <c r="Q4" s="24"/>
      <c r="R4" s="23"/>
      <c r="S4" s="23"/>
      <c r="T4" s="20">
        <f>SUM(T_Pay[[#This Row],[w26]:[w29]])</f>
        <v>0</v>
      </c>
      <c r="U4" s="23"/>
      <c r="V4" s="23"/>
      <c r="W4" s="23"/>
      <c r="X4" s="23"/>
      <c r="Y4" s="20">
        <f>SUM(T_Pay[[#This Row],[w30]:[w34]])</f>
        <v>0</v>
      </c>
      <c r="Z4" s="23"/>
      <c r="AA4" s="23"/>
      <c r="AB4" s="23"/>
      <c r="AC4" s="23"/>
      <c r="AD4" s="23"/>
      <c r="AE4" s="20">
        <f>SUM(T_Pay[[#This Row],[w35]:[w38]])</f>
        <v>0</v>
      </c>
      <c r="AF4" s="23"/>
      <c r="AG4" s="23"/>
      <c r="AH4" s="23"/>
      <c r="AI4" s="23"/>
      <c r="AJ4" s="20">
        <f>SUM(T_Pay[[#This Row],[w39]:[w42]])</f>
        <v>0</v>
      </c>
      <c r="AK4" s="23"/>
      <c r="AL4" s="23"/>
      <c r="AM4" s="23"/>
      <c r="AN4" s="23"/>
      <c r="AO4" s="20">
        <f>SUM(T_Pay[[#This Row],[w43]:[w47]])</f>
        <v>0</v>
      </c>
      <c r="AP4" s="23"/>
      <c r="AQ4" s="23"/>
      <c r="AR4" s="23"/>
      <c r="AS4" s="23"/>
      <c r="AT4" s="23"/>
      <c r="AU4" s="20">
        <f>SUM(T_Pay[[#This Row],[w48]:[w51]])</f>
        <v>0</v>
      </c>
      <c r="AV4" s="23"/>
      <c r="AW4" s="23"/>
      <c r="AX4" s="23"/>
      <c r="AY4" s="23"/>
      <c r="AZ4" s="20">
        <f>SUM(T_Pay[[#This Row],[w52]:[w03]])</f>
        <v>0</v>
      </c>
      <c r="BA4" s="23"/>
      <c r="BB4" s="23"/>
      <c r="BC4" s="23"/>
      <c r="BD4" s="23"/>
      <c r="BE4" s="20">
        <f>SUM(T_Pay[[#This Row],[w04]:[w07]])</f>
        <v>0</v>
      </c>
      <c r="BF4" s="23"/>
      <c r="BG4" s="23"/>
      <c r="BH4" s="23"/>
      <c r="BI4" s="23"/>
      <c r="BJ4" s="20">
        <f>SUM(T_Pay[[#This Row],[w08]:[w12'']])</f>
        <v>0</v>
      </c>
      <c r="BK4" s="23"/>
      <c r="BL4" s="23"/>
      <c r="BM4" s="23"/>
      <c r="BN4" s="23"/>
      <c r="BO4" s="23"/>
    </row>
    <row r="5" spans="1:67" ht="18">
      <c r="A5" s="1" t="s">
        <v>145</v>
      </c>
      <c r="B5" s="25">
        <f>SUBTOTAL(109,T_Pay[Amount])/10000000</f>
        <v>0</v>
      </c>
      <c r="C5" s="26">
        <f>SUBTOTAL(109,T_Pay[Summary 01])</f>
        <v>0</v>
      </c>
      <c r="D5" s="26">
        <f>SUBTOTAL(109,T_Pay[w12])</f>
        <v>0</v>
      </c>
      <c r="E5" s="26">
        <f>SUBTOTAL(109,T_Pay[w13])</f>
        <v>0</v>
      </c>
      <c r="F5" s="26">
        <f>SUBTOTAL(109,T_Pay[w14])</f>
        <v>0</v>
      </c>
      <c r="G5" s="26">
        <f>SUBTOTAL(109,T_Pay[w15])</f>
        <v>0</v>
      </c>
      <c r="H5" s="26">
        <f>SUBTOTAL(109,T_Pay[w16])</f>
        <v>0</v>
      </c>
      <c r="I5" s="26">
        <f>SUBTOTAL(109,T_Pay[Summary 02])</f>
        <v>0</v>
      </c>
      <c r="J5" s="26">
        <f>SUBTOTAL(109,T_Pay[w17])</f>
        <v>0</v>
      </c>
      <c r="K5" s="26">
        <f>SUBTOTAL(109,T_Pay[w18])</f>
        <v>0</v>
      </c>
      <c r="L5" s="26">
        <f>SUBTOTAL(109,T_Pay[w19])</f>
        <v>0</v>
      </c>
      <c r="M5" s="26">
        <f>SUBTOTAL(109,T_Pay[w20])</f>
        <v>0</v>
      </c>
      <c r="N5" s="26">
        <f>SUBTOTAL(109,T_Pay[Summary 03])</f>
        <v>0</v>
      </c>
      <c r="O5" s="26">
        <f>SUBTOTAL(109,T_Pay[w21])</f>
        <v>0</v>
      </c>
      <c r="P5" s="26">
        <f>SUBTOTAL(109,T_Pay[w22])</f>
        <v>0</v>
      </c>
      <c r="Q5" s="26">
        <f>SUBTOTAL(109,T_Pay[w23])</f>
        <v>0</v>
      </c>
      <c r="R5" s="26">
        <f>SUBTOTAL(109,T_Pay[w24])</f>
        <v>0</v>
      </c>
      <c r="S5" s="26">
        <f>SUBTOTAL(109,T_Pay[w25])</f>
        <v>0</v>
      </c>
      <c r="T5" s="26">
        <f>SUBTOTAL(109,T_Pay[Summary 04])</f>
        <v>0</v>
      </c>
      <c r="U5" s="26">
        <f>SUBTOTAL(109,T_Pay[w26])</f>
        <v>0</v>
      </c>
      <c r="V5" s="26">
        <f>SUBTOTAL(109,T_Pay[w27])</f>
        <v>0</v>
      </c>
      <c r="W5" s="26">
        <f>SUBTOTAL(109,T_Pay[w28])</f>
        <v>0</v>
      </c>
      <c r="X5" s="26">
        <f>SUBTOTAL(109,T_Pay[w29])</f>
        <v>0</v>
      </c>
      <c r="Y5" s="26">
        <f>SUBTOTAL(109,T_Pay[Summary 05])</f>
        <v>0</v>
      </c>
      <c r="Z5" s="26">
        <f>SUBTOTAL(109,T_Pay[w30])</f>
        <v>0</v>
      </c>
      <c r="AA5" s="26">
        <f>SUBTOTAL(109,T_Pay[w31])</f>
        <v>0</v>
      </c>
      <c r="AB5" s="26">
        <f>SUBTOTAL(109,T_Pay[w32])</f>
        <v>0</v>
      </c>
      <c r="AC5" s="26">
        <f>SUBTOTAL(109,T_Pay[w33])</f>
        <v>0</v>
      </c>
      <c r="AD5" s="26">
        <f>SUBTOTAL(109,T_Pay[w34])</f>
        <v>0</v>
      </c>
      <c r="AE5" s="26">
        <f>SUBTOTAL(109,T_Pay[Summary 06])</f>
        <v>0</v>
      </c>
      <c r="AF5" s="26">
        <f>SUBTOTAL(109,T_Pay[w35])</f>
        <v>0</v>
      </c>
      <c r="AG5" s="26">
        <f>SUBTOTAL(109,T_Pay[w36])</f>
        <v>0</v>
      </c>
      <c r="AH5" s="26">
        <f>SUBTOTAL(109,T_Pay[w37])</f>
        <v>0</v>
      </c>
      <c r="AI5" s="26">
        <f>SUBTOTAL(109,T_Pay[w38])</f>
        <v>0</v>
      </c>
      <c r="AJ5" s="26">
        <f>SUBTOTAL(109,T_Pay[Summary 07])</f>
        <v>0</v>
      </c>
      <c r="AK5" s="26">
        <f>SUBTOTAL(109,T_Pay[w39])</f>
        <v>0</v>
      </c>
      <c r="AL5" s="26">
        <f>SUBTOTAL(109,T_Pay[w40])</f>
        <v>0</v>
      </c>
      <c r="AM5" s="26">
        <f>SUBTOTAL(109,T_Pay[w41])</f>
        <v>0</v>
      </c>
      <c r="AN5" s="26">
        <f>SUBTOTAL(109,T_Pay[w42])</f>
        <v>0</v>
      </c>
      <c r="AO5" s="26">
        <f>SUBTOTAL(109,T_Pay[Summary 08])</f>
        <v>0</v>
      </c>
      <c r="AP5" s="26">
        <f>SUBTOTAL(109,T_Pay[w43])</f>
        <v>0</v>
      </c>
      <c r="AQ5" s="26">
        <f>SUBTOTAL(109,T_Pay[w44])</f>
        <v>0</v>
      </c>
      <c r="AR5" s="26">
        <f>SUBTOTAL(109,T_Pay[w45])</f>
        <v>0</v>
      </c>
      <c r="AS5" s="26">
        <f>SUBTOTAL(109,T_Pay[w46])</f>
        <v>0</v>
      </c>
      <c r="AT5" s="26">
        <f>SUBTOTAL(109,T_Pay[w47])</f>
        <v>0</v>
      </c>
      <c r="AU5" s="26">
        <f>SUBTOTAL(109,T_Pay[Summary 09])</f>
        <v>0</v>
      </c>
      <c r="AV5" s="26">
        <f>SUBTOTAL(109,T_Pay[w48])</f>
        <v>0</v>
      </c>
      <c r="AW5" s="26">
        <f>SUBTOTAL(109,T_Pay[w49])</f>
        <v>0</v>
      </c>
      <c r="AX5" s="26">
        <f>SUBTOTAL(109,T_Pay[w50])</f>
        <v>0</v>
      </c>
      <c r="AY5" s="26">
        <f>SUBTOTAL(109,T_Pay[w51])</f>
        <v>0</v>
      </c>
      <c r="AZ5" s="26">
        <f>SUBTOTAL(109,T_Pay[Summary 10])</f>
        <v>0</v>
      </c>
      <c r="BA5" s="26">
        <f>SUBTOTAL(109,T_Pay[w52])</f>
        <v>0</v>
      </c>
      <c r="BB5" s="26">
        <f>SUBTOTAL(109,T_Pay[w01])</f>
        <v>0</v>
      </c>
      <c r="BC5" s="26">
        <f>SUBTOTAL(109,T_Pay[w02])</f>
        <v>0</v>
      </c>
      <c r="BD5" s="26">
        <f>SUBTOTAL(109,T_Pay[w03])</f>
        <v>0</v>
      </c>
      <c r="BE5" s="26">
        <f>SUBTOTAL(109,T_Pay[Summary 11])</f>
        <v>0</v>
      </c>
      <c r="BF5" s="26">
        <f>SUBTOTAL(109,T_Pay[w04])</f>
        <v>0</v>
      </c>
      <c r="BG5" s="26">
        <f>SUBTOTAL(109,T_Pay[w05])</f>
        <v>0</v>
      </c>
      <c r="BH5" s="26">
        <f>SUBTOTAL(109,T_Pay[w06])</f>
        <v>0</v>
      </c>
      <c r="BI5" s="26">
        <f>SUBTOTAL(109,T_Pay[w07])</f>
        <v>0</v>
      </c>
      <c r="BJ5" s="26">
        <f>SUBTOTAL(109,T_Pay[Summary 12])</f>
        <v>0</v>
      </c>
      <c r="BK5" s="26">
        <f>SUBTOTAL(109,T_Pay[w08])</f>
        <v>0</v>
      </c>
      <c r="BL5" s="26">
        <f>SUBTOTAL(109,T_Pay[w09])</f>
        <v>0</v>
      </c>
      <c r="BM5" s="26">
        <f>SUBTOTAL(109,T_Pay[w10])</f>
        <v>0</v>
      </c>
      <c r="BN5" s="26">
        <f>SUBTOTAL(109,T_Pay[w11])</f>
        <v>0</v>
      </c>
      <c r="BO5" s="26">
        <f>SUBTOTAL(109,T_Pay[w12''])</f>
        <v>0</v>
      </c>
    </row>
  </sheetData>
  <mergeCells count="11">
    <mergeCell ref="AO1:AT1"/>
    <mergeCell ref="AU1:AY1"/>
    <mergeCell ref="AZ1:BD1"/>
    <mergeCell ref="BE1:BI1"/>
    <mergeCell ref="BJ1:BO1"/>
    <mergeCell ref="AJ1:AN1"/>
    <mergeCell ref="I1:M1"/>
    <mergeCell ref="C1:H1"/>
    <mergeCell ref="T1:X1"/>
    <mergeCell ref="Y1:AD1"/>
    <mergeCell ref="AE1:AI1"/>
  </mergeCells>
  <phoneticPr fontId="1" type="noConversion"/>
  <dataValidations count="1">
    <dataValidation allowBlank="1" showInputMessage="1" showErrorMessage="1" error="محاز به انتخاب از مواردی که در لیست کشویی‌ست هستید" sqref="B4:C5 I4:I5 BE4:BE5 AU4:AU5 AO4:AO5 AJ4:AJ5 AE4:AE5 Y4:Y5 T4:T5 N4:N5 AZ4:AZ5 BJ4:BJ5" xr:uid="{4180E8D2-33A5-449F-98C1-E3B0B3ACADC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05C3-DB57-4263-B952-76ED155D5275}">
  <dimension ref="A1:J56"/>
  <sheetViews>
    <sheetView showGridLines="0" rightToLeft="1" workbookViewId="0">
      <selection activeCell="J7" sqref="J7"/>
    </sheetView>
  </sheetViews>
  <sheetFormatPr defaultRowHeight="14.25"/>
  <cols>
    <col min="1" max="1" width="30" bestFit="1" customWidth="1"/>
    <col min="2" max="2" width="3.75" bestFit="1" customWidth="1"/>
    <col min="4" max="4" width="7.375" customWidth="1"/>
    <col min="5" max="5" width="6.75" customWidth="1"/>
    <col min="6" max="8" width="9" customWidth="1"/>
    <col min="10" max="10" width="50.625" customWidth="1"/>
  </cols>
  <sheetData>
    <row r="1" spans="1:10" ht="51">
      <c r="A1" s="60" t="s">
        <v>5</v>
      </c>
      <c r="B1" s="60"/>
      <c r="D1" s="62"/>
      <c r="E1" s="62"/>
    </row>
    <row r="2" spans="1:10" ht="26.25">
      <c r="D2" s="61" t="s">
        <v>3</v>
      </c>
      <c r="E2" s="61"/>
      <c r="I2" s="63" t="s">
        <v>202</v>
      </c>
      <c r="J2" s="63"/>
    </row>
    <row r="3" spans="1:10" ht="34.5">
      <c r="A3" s="2" t="s">
        <v>2</v>
      </c>
      <c r="B3" s="3" t="s">
        <v>1</v>
      </c>
      <c r="D3" s="4" t="s">
        <v>3</v>
      </c>
      <c r="E3" s="4" t="s">
        <v>194</v>
      </c>
      <c r="F3" s="4" t="s">
        <v>6</v>
      </c>
      <c r="G3" s="4" t="s">
        <v>7</v>
      </c>
      <c r="I3" s="4" t="s">
        <v>194</v>
      </c>
      <c r="J3" s="4" t="s">
        <v>200</v>
      </c>
    </row>
    <row r="4" spans="1:10" ht="49.5">
      <c r="D4" s="16" t="s">
        <v>150</v>
      </c>
      <c r="E4" s="31">
        <v>1</v>
      </c>
      <c r="F4" s="7" t="s">
        <v>8</v>
      </c>
      <c r="G4" s="7" t="s">
        <v>9</v>
      </c>
      <c r="I4" s="51">
        <v>1</v>
      </c>
      <c r="J4" s="52" t="s">
        <v>201</v>
      </c>
    </row>
    <row r="5" spans="1:10" ht="19.5">
      <c r="D5" s="16" t="s">
        <v>144</v>
      </c>
      <c r="E5" s="31">
        <v>2</v>
      </c>
      <c r="F5" s="7" t="s">
        <v>10</v>
      </c>
      <c r="G5" s="7" t="s">
        <v>11</v>
      </c>
      <c r="I5" s="51">
        <v>2</v>
      </c>
      <c r="J5" s="53" t="s">
        <v>203</v>
      </c>
    </row>
    <row r="6" spans="1:10" ht="66">
      <c r="D6" s="16" t="s">
        <v>151</v>
      </c>
      <c r="E6" s="31">
        <v>3</v>
      </c>
      <c r="F6" s="7" t="s">
        <v>12</v>
      </c>
      <c r="G6" s="7" t="s">
        <v>13</v>
      </c>
      <c r="I6" s="51" t="s">
        <v>204</v>
      </c>
      <c r="J6" s="52" t="s">
        <v>208</v>
      </c>
    </row>
    <row r="7" spans="1:10" ht="19.5">
      <c r="D7" s="16" t="s">
        <v>139</v>
      </c>
      <c r="E7" s="31">
        <v>4</v>
      </c>
      <c r="F7" s="7" t="s">
        <v>14</v>
      </c>
      <c r="G7" s="7" t="s">
        <v>15</v>
      </c>
    </row>
    <row r="8" spans="1:10" ht="19.5">
      <c r="D8" s="17" t="s">
        <v>152</v>
      </c>
      <c r="E8" s="32">
        <v>5</v>
      </c>
      <c r="F8" s="15"/>
      <c r="G8" s="15"/>
    </row>
    <row r="9" spans="1:10" ht="19.5">
      <c r="D9" s="17" t="s">
        <v>153</v>
      </c>
      <c r="E9" s="32">
        <v>6</v>
      </c>
      <c r="F9" s="15"/>
      <c r="G9" s="15"/>
    </row>
    <row r="10" spans="1:10" ht="19.5">
      <c r="D10" s="17" t="s">
        <v>154</v>
      </c>
      <c r="E10" s="31">
        <v>7</v>
      </c>
      <c r="F10" s="15"/>
      <c r="G10" s="15"/>
    </row>
    <row r="11" spans="1:10" ht="19.5">
      <c r="D11" s="17" t="s">
        <v>155</v>
      </c>
      <c r="E11" s="31">
        <v>8</v>
      </c>
      <c r="F11" s="15"/>
      <c r="G11" s="15"/>
    </row>
    <row r="12" spans="1:10" ht="19.5">
      <c r="D12" s="17" t="s">
        <v>142</v>
      </c>
      <c r="E12" s="31">
        <v>9</v>
      </c>
      <c r="F12" s="15"/>
      <c r="G12" s="15"/>
    </row>
    <row r="13" spans="1:10" ht="19.5">
      <c r="D13" s="17" t="s">
        <v>156</v>
      </c>
      <c r="E13" s="31">
        <v>10</v>
      </c>
      <c r="F13" s="15"/>
      <c r="G13" s="15"/>
    </row>
    <row r="14" spans="1:10" ht="19.5">
      <c r="D14" s="17" t="s">
        <v>141</v>
      </c>
      <c r="E14" s="32">
        <v>11</v>
      </c>
      <c r="F14" s="15"/>
      <c r="G14" s="15"/>
    </row>
    <row r="15" spans="1:10" ht="19.5">
      <c r="D15" s="17" t="s">
        <v>157</v>
      </c>
      <c r="E15" s="32">
        <v>12</v>
      </c>
      <c r="F15" s="15"/>
      <c r="G15" s="15"/>
    </row>
    <row r="16" spans="1:10" ht="19.5">
      <c r="D16" s="17" t="s">
        <v>158</v>
      </c>
      <c r="E16" s="31">
        <v>13</v>
      </c>
      <c r="F16" s="15"/>
      <c r="G16" s="15"/>
    </row>
    <row r="17" spans="4:7" ht="19.5">
      <c r="D17" s="17" t="s">
        <v>159</v>
      </c>
      <c r="E17" s="31">
        <v>14</v>
      </c>
      <c r="F17" s="15"/>
      <c r="G17" s="15"/>
    </row>
    <row r="18" spans="4:7" ht="19.5">
      <c r="D18" s="17" t="s">
        <v>160</v>
      </c>
      <c r="E18" s="31">
        <v>15</v>
      </c>
      <c r="F18" s="15"/>
      <c r="G18" s="15"/>
    </row>
    <row r="19" spans="4:7" ht="19.5">
      <c r="D19" s="17" t="s">
        <v>161</v>
      </c>
      <c r="E19" s="31">
        <v>16</v>
      </c>
      <c r="F19" s="15"/>
      <c r="G19" s="15"/>
    </row>
    <row r="20" spans="4:7" ht="19.5">
      <c r="D20" s="17" t="s">
        <v>162</v>
      </c>
      <c r="E20" s="32">
        <v>17</v>
      </c>
      <c r="F20" s="15"/>
      <c r="G20" s="15"/>
    </row>
    <row r="21" spans="4:7" ht="19.5">
      <c r="D21" s="17" t="s">
        <v>163</v>
      </c>
      <c r="E21" s="32">
        <v>18</v>
      </c>
      <c r="F21" s="15"/>
      <c r="G21" s="15"/>
    </row>
    <row r="22" spans="4:7" ht="19.5">
      <c r="D22" s="17" t="s">
        <v>164</v>
      </c>
      <c r="E22" s="31">
        <v>19</v>
      </c>
      <c r="F22" s="15"/>
      <c r="G22" s="15"/>
    </row>
    <row r="23" spans="4:7" ht="19.5">
      <c r="D23" s="17" t="s">
        <v>140</v>
      </c>
      <c r="E23" s="31">
        <v>20</v>
      </c>
      <c r="F23" s="15"/>
      <c r="G23" s="15"/>
    </row>
    <row r="24" spans="4:7" ht="19.5">
      <c r="D24" s="17" t="s">
        <v>165</v>
      </c>
      <c r="E24" s="31">
        <v>21</v>
      </c>
      <c r="F24" s="15"/>
      <c r="G24" s="15"/>
    </row>
    <row r="25" spans="4:7" ht="19.5">
      <c r="D25" s="17" t="s">
        <v>166</v>
      </c>
      <c r="E25" s="31">
        <v>22</v>
      </c>
      <c r="F25" s="15"/>
      <c r="G25" s="15"/>
    </row>
    <row r="26" spans="4:7" ht="19.5">
      <c r="D26" s="17" t="s">
        <v>167</v>
      </c>
      <c r="E26" s="32">
        <v>23</v>
      </c>
      <c r="F26" s="15"/>
      <c r="G26" s="15"/>
    </row>
    <row r="27" spans="4:7" ht="19.5">
      <c r="D27" s="17" t="s">
        <v>168</v>
      </c>
      <c r="E27" s="32">
        <v>24</v>
      </c>
      <c r="F27" s="15"/>
      <c r="G27" s="15"/>
    </row>
    <row r="28" spans="4:7" ht="19.5">
      <c r="D28" s="17" t="s">
        <v>146</v>
      </c>
      <c r="E28" s="31">
        <v>25</v>
      </c>
      <c r="F28" s="15"/>
      <c r="G28" s="15"/>
    </row>
    <row r="29" spans="4:7" ht="19.5">
      <c r="D29" s="17" t="s">
        <v>169</v>
      </c>
      <c r="E29" s="31">
        <v>26</v>
      </c>
      <c r="F29" s="15"/>
      <c r="G29" s="15"/>
    </row>
    <row r="30" spans="4:7" ht="19.5">
      <c r="D30" s="17" t="s">
        <v>170</v>
      </c>
      <c r="E30" s="31">
        <v>27</v>
      </c>
      <c r="F30" s="15"/>
      <c r="G30" s="15"/>
    </row>
    <row r="31" spans="4:7" ht="19.5">
      <c r="D31" s="17" t="s">
        <v>171</v>
      </c>
      <c r="E31" s="31">
        <v>28</v>
      </c>
      <c r="F31" s="15"/>
      <c r="G31" s="15"/>
    </row>
    <row r="32" spans="4:7" ht="19.5">
      <c r="D32" s="17" t="s">
        <v>172</v>
      </c>
      <c r="E32" s="32">
        <v>29</v>
      </c>
      <c r="F32" s="15"/>
      <c r="G32" s="15"/>
    </row>
    <row r="33" spans="4:7" ht="19.5">
      <c r="D33" s="17" t="s">
        <v>147</v>
      </c>
      <c r="E33" s="32">
        <v>30</v>
      </c>
      <c r="F33" s="15"/>
      <c r="G33" s="15"/>
    </row>
    <row r="34" spans="4:7" ht="19.5">
      <c r="D34" s="17" t="s">
        <v>173</v>
      </c>
      <c r="E34" s="31">
        <v>31</v>
      </c>
      <c r="F34" s="15"/>
      <c r="G34" s="15"/>
    </row>
    <row r="35" spans="4:7" ht="19.5">
      <c r="D35" s="17" t="s">
        <v>174</v>
      </c>
      <c r="E35" s="31">
        <v>32</v>
      </c>
      <c r="F35" s="15"/>
      <c r="G35" s="15"/>
    </row>
    <row r="36" spans="4:7" ht="19.5">
      <c r="D36" s="17" t="s">
        <v>175</v>
      </c>
      <c r="E36" s="31">
        <v>33</v>
      </c>
      <c r="F36" s="15"/>
      <c r="G36" s="15"/>
    </row>
    <row r="37" spans="4:7" ht="19.5">
      <c r="D37" s="17" t="s">
        <v>176</v>
      </c>
      <c r="E37" s="31">
        <v>34</v>
      </c>
      <c r="F37" s="15"/>
      <c r="G37" s="15"/>
    </row>
    <row r="38" spans="4:7" ht="19.5">
      <c r="D38" s="17" t="s">
        <v>177</v>
      </c>
      <c r="E38" s="32">
        <v>35</v>
      </c>
      <c r="F38" s="15"/>
      <c r="G38" s="15"/>
    </row>
    <row r="39" spans="4:7" ht="19.5">
      <c r="D39" s="17" t="s">
        <v>178</v>
      </c>
      <c r="E39" s="32">
        <v>36</v>
      </c>
      <c r="F39" s="15"/>
      <c r="G39" s="15"/>
    </row>
    <row r="40" spans="4:7" ht="19.5">
      <c r="D40" s="17" t="s">
        <v>179</v>
      </c>
      <c r="E40" s="31">
        <v>37</v>
      </c>
      <c r="F40" s="15"/>
      <c r="G40" s="15"/>
    </row>
    <row r="41" spans="4:7" ht="19.5">
      <c r="D41" s="17" t="s">
        <v>180</v>
      </c>
      <c r="E41" s="31">
        <v>38</v>
      </c>
      <c r="F41" s="15"/>
      <c r="G41" s="15"/>
    </row>
    <row r="42" spans="4:7" ht="19.5">
      <c r="D42" s="17" t="s">
        <v>149</v>
      </c>
      <c r="E42" s="31">
        <v>39</v>
      </c>
      <c r="F42" s="15"/>
      <c r="G42" s="15"/>
    </row>
    <row r="43" spans="4:7" ht="19.5">
      <c r="D43" s="17" t="s">
        <v>181</v>
      </c>
      <c r="E43" s="31">
        <v>40</v>
      </c>
      <c r="F43" s="15"/>
      <c r="G43" s="15"/>
    </row>
    <row r="44" spans="4:7" ht="19.5">
      <c r="D44" s="17" t="s">
        <v>182</v>
      </c>
      <c r="E44" s="32">
        <v>41</v>
      </c>
      <c r="F44" s="15"/>
      <c r="G44" s="15"/>
    </row>
    <row r="45" spans="4:7" ht="19.5">
      <c r="D45" s="17" t="s">
        <v>183</v>
      </c>
      <c r="E45" s="32">
        <v>42</v>
      </c>
      <c r="F45" s="15"/>
      <c r="G45" s="15"/>
    </row>
    <row r="46" spans="4:7" ht="19.5">
      <c r="D46" s="17" t="s">
        <v>184</v>
      </c>
      <c r="E46" s="31">
        <v>43</v>
      </c>
      <c r="F46" s="15"/>
      <c r="G46" s="15"/>
    </row>
    <row r="47" spans="4:7" ht="19.5">
      <c r="D47" s="17" t="s">
        <v>185</v>
      </c>
      <c r="E47" s="31">
        <v>44</v>
      </c>
      <c r="F47" s="15"/>
      <c r="G47" s="15"/>
    </row>
    <row r="48" spans="4:7" ht="19.5">
      <c r="D48" s="17" t="s">
        <v>186</v>
      </c>
      <c r="E48" s="31">
        <v>45</v>
      </c>
      <c r="F48" s="15"/>
      <c r="G48" s="15"/>
    </row>
    <row r="49" spans="4:7" ht="19.5">
      <c r="D49" s="17" t="s">
        <v>187</v>
      </c>
      <c r="E49" s="31">
        <v>46</v>
      </c>
      <c r="F49" s="15"/>
      <c r="G49" s="15"/>
    </row>
    <row r="50" spans="4:7" ht="19.5">
      <c r="D50" s="17" t="s">
        <v>188</v>
      </c>
      <c r="E50" s="32">
        <v>47</v>
      </c>
      <c r="F50" s="15"/>
      <c r="G50" s="15"/>
    </row>
    <row r="51" spans="4:7" ht="19.5">
      <c r="D51" s="17" t="s">
        <v>189</v>
      </c>
      <c r="E51" s="32">
        <v>48</v>
      </c>
      <c r="F51" s="15"/>
      <c r="G51" s="15"/>
    </row>
    <row r="52" spans="4:7" ht="19.5">
      <c r="D52" s="17" t="s">
        <v>190</v>
      </c>
      <c r="E52" s="31">
        <v>49</v>
      </c>
      <c r="F52" s="15"/>
      <c r="G52" s="15"/>
    </row>
    <row r="53" spans="4:7" ht="19.5">
      <c r="D53" s="17" t="s">
        <v>191</v>
      </c>
      <c r="E53" s="31">
        <v>50</v>
      </c>
      <c r="F53" s="15"/>
      <c r="G53" s="15"/>
    </row>
    <row r="54" spans="4:7" ht="19.5">
      <c r="D54" s="17" t="s">
        <v>192</v>
      </c>
      <c r="E54" s="31">
        <v>51</v>
      </c>
      <c r="F54" s="15"/>
      <c r="G54" s="15"/>
    </row>
    <row r="55" spans="4:7" ht="19.5">
      <c r="D55" s="17" t="s">
        <v>143</v>
      </c>
      <c r="E55" s="5">
        <v>52</v>
      </c>
      <c r="F55" s="15"/>
      <c r="G55" s="15"/>
    </row>
    <row r="56" spans="4:7" ht="19.5">
      <c r="D56" s="17" t="s">
        <v>193</v>
      </c>
      <c r="E56" s="14">
        <v>53</v>
      </c>
      <c r="F56" s="15"/>
      <c r="G56" s="15"/>
    </row>
  </sheetData>
  <mergeCells count="4">
    <mergeCell ref="A1:B1"/>
    <mergeCell ref="D2:E2"/>
    <mergeCell ref="D1:E1"/>
    <mergeCell ref="I2:J2"/>
  </mergeCells>
  <pageMargins left="0.7" right="0.7" top="0.75" bottom="0.75" header="0.3" footer="0.3"/>
  <ignoredErrors>
    <ignoredError sqref="D4:D56" numberStoredAsText="1"/>
  </ignoredErrors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8 1 0 1 a c - 1 7 e 3 - 4 3 d 0 - a d f 8 - b 8 7 a e 7 c 4 f 9 9 a "   x m l n s = " h t t p : / / s c h e m a s . m i c r o s o f t . c o m / D a t a M a s h u p " > A A A A A K I G A A B Q S w M E F A A C A A g A e G I 0 W L G 1 O H O l A A A A 9 g A A A B I A H A B D b 2 5 m a W c v U G F j a 2 F n Z S 5 4 b W w g o h g A K K A U A A A A A A A A A A A A A A A A A A A A A A A A A A A A h Y 8 x D o I w G I W v Q r r T l m o M I T 9 l c D K R x G h i X J t S o R G K o c V y N w e P 5 B X E K O r m + L 7 3 D e / d r z f I h q Y O L q q z u j U p i j B F g T K y L b Q p U 9 S 7 Y x i j j M N G y J M o V T D K x i a D L V J U O X d O C P H e Y z / D b V c S R m l E D v l 6 J y v V C P S R 9 X 8 5 1 M Y 6 Y a R C H P a v M Z z h i M 3 x g s W Y A p k g 5 N p 8 B T b u f b Y / E J Z 9 7 f p O 8 a M I V 1 s g U w T y / s A f U E s D B B Q A A g A I A H h i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Y j R Y I e B c U J s D A A D o D w A A E w A c A E Z v c m 1 1 b G F z L 1 N l Y 3 R p b 2 4 x L m 0 g o h g A K K A U A A A A A A A A A A A A A A A A A A A A A A A A A A A A 5 V d d b 9 o w F H 1 H 4 j 9 E 7 s P C G h j 5 o O 1 U 9 a F j U z W p 6 6 a S r Q 8 I T S F 4 I 2 o S I 8 d p i i L + + + z c B G K S F G g 7 7 W F I l W s 7 n H N 9 7 r k X J 8 I u 8 0 i o j G D U z 9 u t d i u a O x T P l C N k O 9 P Y d + g x U i 4 U H 7 N 2 S + G f E Y m p i / n K p 0 c X + 7 1 h T C k O 2 R 2 h 9 1 N C 7 t V O O r 5 x A n y B 7 J + 3 2 M X e A 0 a T 1 X h I Q s a f m m i A c Y R u c U A e O M m Q + H E Q R o K B s / m 4 B x v 5 s g p k W o o u A x K H D G k K G s V B 4 N C l 0 t e l m S H N T G l m S b O B N D u R Z q f S 7 E y a v S / P 9 L 4 0 k 2 L R D b T q V E 7 6 g T B G A u W W J J X T X j s R u 1 G r o m h 6 G W b h O y 7 f / O H 4 M S 4 j Z O v Z q l r P p o W x 7 2 t 9 L X + U S t / h 2 i Z 6 J l 6 i m z B Y M A x g O I H h F I Y z G D I t E q M P g w 4 D o B i A Y g C K A S g G o B i A Y g C K A S g m o J i A Y g K K C S g m o J i A Y g K K C S g m o J i A Y g G K B S g W o F i A Y g G K B S g W o F i A Y g G K B S g D Q B k A y g B Q w G l J P 5 8 B J p g q A T c l Y K M E / J O A c R J w T A J W S c A j X O s 3 Z X d 8 D x f e A 2 E 8 Y 1 / Z H N N q P e Q P Z L t F V V T c o C k p s j 3 m Y 7 T i H J e M U W 8 a M 7 G O 4 I E m H + m N R m o K T E M J / 0 M V M 9 n 4 k Y k 6 X X O v m j i N J 8 w r x 8 Y 9 m 1 m 3 y b h w N o k o 5 L 2 n t q u I j S b 9 e G L T V J b t D u P 7 G y L k L G i E s N C E V i X G y 9 l M 8 M U R r 7 Y N H V 8 F L r U a 0 x p H / W J 3 + A w 7 7 l w Z w 9 L k n d 6 H T 6 f d 8 s J a k t o W 3 c 1 b 9 I E d + p u z l L r z f 9 O c X 7 c 3 P 7 u I a 3 r 1 c y v 5 r x Z y 6 2 X 1 d X h 5 5 X z D u R P + 5 i j 2 c l F u G z Z 1 w u g X o Q E Q i t 2 o r t L S k j W h C t x l T z x d o t h d w H I Q e 5 b v x m G E z j C t 1 y z b 2 o g m h a I V P t i o t Z F I D m L V 4 b 2 i k U / u F 8 + 9 y + V 9 5 j W v d O v j F X k v W 3 t / 1 S q F m W Z 6 f f 5 Y p 1 y u 1 5 r o i p J 4 w b 8 s V 3 6 2 q t a F I f x a Q R c u T t G V 4 4 W F H 6 6 9 i P V 4 x 1 H H R 2 X i S U d T G H e R I n 7 V B B P / J 5 h i y u 1 Y b v d S U H L 6 u i 9 L 3 3 a / 3 0 5 d Q / s a Y Z + / H 1 Q S u B F C q o i 1 L C / L 5 1 a 3 + k d Z H Z K I 7 Z / V Q 5 L J k + D 6 c S T e v u p S C j E P S T D 1 Q q y m o n K 1 z A B 7 n j P P U v P J 6 t w q P N x o U o G 1 o L h L 4 h p F h E 5 P 2 P u A + 5 J 0 K B 5 0 i a 6 r v + X S F z F M q u 9 Y O 1 p P t c U W W I 2 X 1 Z 0 v W m s P 7 X j J y u R G W 1 z l c P S m 6 + P W T R 8 p N m G O v / 7 p 4 R k 7 H n P c S e O V U U f n f w B Q S w E C L Q A U A A I A C A B 4 Y j R Y s b U 4 c 6 U A A A D 2 A A A A E g A A A A A A A A A A A A A A A A A A A A A A Q 2 9 u Z m l n L 1 B h Y 2 t h Z 2 U u e G 1 s U E s B A i 0 A F A A C A A g A e G I 0 W A / K 6 a u k A A A A 6 Q A A A B M A A A A A A A A A A A A A A A A A 8 Q A A A F t D b 2 5 0 Z W 5 0 X 1 R 5 c G V z X S 5 4 b W x Q S w E C L Q A U A A I A C A B 4 Y j R Y I e B c U J s D A A D o D w A A E w A A A A A A A A A A A A A A A A D i A Q A A R m 9 y b X V s Y X M v U 2 V j d G l v b j E u b V B L B Q Y A A A A A A w A D A M I A A A D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O A A A A A A A A H 4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1 b G F y L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X 1 R h Y n V s Y X J Q Y X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E t M j B U M D g 6 N D c 6 N T k u M j k 5 M T A 0 M F o i I C 8 + P E V u d H J 5 I F R 5 c G U 9 I l F 1 Z X J 5 S U Q i I F Z h b H V l P S J z M z R m N W M y N j Y t Y z V h O S 0 0 Y 2 I 1 L T k 4 N z E t M 2 E 0 N 2 Y y Y W Q z Y W Z i I i A v P j x F b n R y e S B U e X B l P S J G a W x s Q 2 9 s d W 1 u V H l w Z X M i I F Z h b H V l P S J z Q U F Z U k F B P T 0 i I C 8 + P E V u d H J 5 I F R 5 c G U 9 I k Z p b G x U Y X J n Z X R O Y W 1 l Q 3 V z d G 9 t a X p l Z C I g V m F s d W U 9 I m w x I i A v P j x F b n R y e S B U e X B l P S J G a W x s Q 2 9 s d W 1 u T m F t Z X M i I F Z h b H V l P S J z W y Z x d W 9 0 O 1 R p d G x l J n F 1 b 3 Q 7 L C Z x d W 9 0 O 1 d l Z W t O b y Z x d W 9 0 O y w m c X V v d D t B b W 9 1 b n Q m c X V v d D s s J n F 1 b 3 Q 7 Q W 1 v d W 5 0 K E 1 U K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Y X I t L 0 F 1 d G 9 S Z W 1 v d m V k Q 2 9 s d W 1 u c z E u e 1 R p d G x l L D B 9 J n F 1 b 3 Q 7 L C Z x d W 9 0 O 1 N l Y 3 R p b 2 4 x L 1 R h Y n V s Y X I t L 0 F 1 d G 9 S Z W 1 v d m V k Q 2 9 s d W 1 u c z E u e 1 d l Z W t O b y w x f S Z x d W 9 0 O y w m c X V v d D t T Z W N 0 a W 9 u M S 9 U Y W J 1 b G F y L S 9 B d X R v U m V t b 3 Z l Z E N v b H V t b n M x L n t B b W 9 1 b n Q s M n 0 m c X V v d D s s J n F 1 b 3 Q 7 U 2 V j d G l v b j E v V G F i d W x h c i 0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L S 9 B d X R v U m V t b 3 Z l Z E N v b H V t b n M x L n t U a X R s Z S w w f S Z x d W 9 0 O y w m c X V v d D t T Z W N 0 a W 9 u M S 9 U Y W J 1 b G F y L S 9 B d X R v U m V t b 3 Z l Z E N v b H V t b n M x L n t X Z W V r T m 8 s M X 0 m c X V v d D s s J n F 1 b 3 Q 7 U 2 V j d G l v b j E v V G F i d W x h c i 0 v Q X V 0 b 1 J l b W 9 2 Z W R D b 2 x 1 b W 5 z M S 5 7 Q W 1 v d W 5 0 L D J 9 J n F 1 b 3 Q 7 L C Z x d W 9 0 O 1 N l Y 3 R p b 2 4 x L 1 R h Y n V s Y X I t L 0 F 1 d G 9 S Z W 1 v d m V k Q 2 9 s d W 1 u c z E u e 0 F t b 3 V u d C h N V C k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d W x h c i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X 1 R h Y n V s Y X J S Z W N l a X Z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x L T I w V D A 4 O j Q 4 O j A x L j M 2 N j I 3 N D J a I i A v P j x F b n R y e S B U e X B l P S J G a W x s R X J y b 3 J D b 3 V u d C I g V m F s d W U 9 I m w x I i A v P j x F b n R y e S B U e X B l P S J G a W x s V G F y Z 2 V 0 T m F t Z U N 1 c 3 R v b W l 6 Z W Q i I F Z h b H V l P S J s M S I g L z 4 8 R W 5 0 c n k g V H l w Z T 0 i U X V l c n l J R C I g V m F s d W U 9 I n M 3 Y z l i N z Q 0 Z i 0 5 M D I 4 L T R l M G I t O T Y 1 N i 1 l Y m Q 4 M T U w Z G J j N z k i I C 8 + P E V u d H J 5 I F R 5 c G U 9 I k Z p b G x D b 2 x 1 b W 5 U e X B l c y I g V m F s d W U 9 I n N B Q V l B Q U E 9 P S I g L z 4 8 R W 5 0 c n k g V H l w Z T 0 i R m l s b E N v b H V t b k 5 h b W V z I i B W Y W x 1 Z T 0 i c 1 s m c X V v d D t U a X R s Z S Z x d W 9 0 O y w m c X V v d D t X Z W V r T m 8 m c X V v d D s s J n F 1 b 3 Q 7 Q W 1 v d W 5 0 J n F 1 b 3 Q 7 L C Z x d W 9 0 O 0 F t b 3 V u d C h N V C k m c X V v d D t d I i A v P j x F b n R y e S B U e X B l P S J G a W x s R X J y b 3 J D b 2 R l I i B W Y W x 1 Z T 0 i c 1 V u a 2 5 v d 2 4 i I C 8 + P E V u d H J 5 I F R 5 c G U 9 I k Z p b G x D b 3 V u d C I g V m F s d W U 9 I m w 1 M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K y 9 B d X R v U m V t b 3 Z l Z E N v b H V t b n M x L n t U a X R s Z S w w f S Z x d W 9 0 O y w m c X V v d D t T Z W N 0 a W 9 u M S 9 U Y W J 1 b G F y K y 9 B d X R v U m V t b 3 Z l Z E N v b H V t b n M x L n t X Z W V r T m 8 s M X 0 m c X V v d D s s J n F 1 b 3 Q 7 U 2 V j d G l v b j E v V G F i d W x h c i s v Q X V 0 b 1 J l b W 9 2 Z W R D b 2 x 1 b W 5 z M S 5 7 Q W 1 v d W 5 0 L D J 9 J n F 1 b 3 Q 7 L C Z x d W 9 0 O 1 N l Y 3 R p b 2 4 x L 1 R h Y n V s Y X I r L 0 F 1 d G 9 S Z W 1 v d m V k Q 2 9 s d W 1 u c z E u e 0 F t b 3 V u d C h N V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d W x h c i s v Q X V 0 b 1 J l b W 9 2 Z W R D b 2 x 1 b W 5 z M S 5 7 V G l 0 b G U s M H 0 m c X V v d D s s J n F 1 b 3 Q 7 U 2 V j d G l v b j E v V G F i d W x h c i s v Q X V 0 b 1 J l b W 9 2 Z W R D b 2 x 1 b W 5 z M S 5 7 V 2 V l a 0 5 v L D F 9 J n F 1 b 3 Q 7 L C Z x d W 9 0 O 1 N l Y 3 R p b 2 4 x L 1 R h Y n V s Y X I r L 0 F 1 d G 9 S Z W 1 v d m V k Q 2 9 s d W 1 u c z E u e 0 F t b 3 V u d C w y f S Z x d W 9 0 O y w m c X V v d D t T Z W N 0 a W 9 u M S 9 U Y W J 1 b G F y K y 9 B d X R v U m V t b 3 Z l Z E N v b H V t b n M x L n t B b W 9 1 b n Q o T V Q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F y J T J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x h c 3 R V c G R h d G V k I i B W Y W x 1 Z T 0 i Z D I w M j Q t M D E t M j B U M D g 6 N D c 6 N T k u M j Y 0 M T k 2 M l o i I C 8 + P E V u d H J 5 I F R 5 c G U 9 I k Z p b G x U Y X J n Z X Q i I F Z h b H V l P S J z V F 9 D a G F y d C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N m N z Q z O D M 4 Z S 0 0 Y 2 M 5 L T Q z N m M t Y T A 2 Z i 1 k N D V h Y z Q 4 Z D A x N W E i I C 8 + P E V u d H J 5 I F R 5 c G U 9 I k Z p b G x D b 2 x 1 b W 5 U e X B l c y I g V m F s d W U 9 I n N B Q U F G Q U F B P S I g L z 4 8 R W 5 0 c n k g V H l w Z T 0 i R m l s b E V y c m 9 y Q 2 9 1 b n Q i I F Z h b H V l P S J s M C I g L z 4 8 R W 5 0 c n k g V H l w Z T 0 i R m l s b E N v b H V t b k 5 h b W V z I i B W Y W x 1 Z T 0 i c 1 s m c X V v d D t X Z W V r S U Q m c X V v d D s s J n F 1 b 3 Q 7 V 2 V l a 0 5 v J n F 1 b 3 Q 7 L C Z x d W 9 0 O 2 l u J n F 1 b 3 Q 7 L C Z x d W 9 0 O 2 9 1 d C Z x d W 9 0 O y w m c X V v d D s g V G 9 0 Y W w m c X V v d D t d I i A v P j x F b n R y e S B U e X B l P S J G a W x s R X J y b 3 J D b 2 R l I i B W Y W x 1 Z T 0 i c 1 V u a 2 5 v d 2 4 i I C 8 + P E V u d H J 5 I F R 5 c G U 9 I k Z p b G x D b 3 V u d C I g V m F s d W U 9 I m w 1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j b H V z a W 9 u L 0 F 1 d G 9 S Z W 1 v d m V k Q 2 9 s d W 1 u c z E u e 1 d l Z W t J R C w w f S Z x d W 9 0 O y w m c X V v d D t T Z W N 0 a W 9 u M S 9 D b 2 5 j b H V z a W 9 u L 0 F 1 d G 9 S Z W 1 v d m V k Q 2 9 s d W 1 u c z E u e 1 d l Z W t O b y w x f S Z x d W 9 0 O y w m c X V v d D t T Z W N 0 a W 9 u M S 9 D b 2 5 j b H V z a W 9 u L 0 F 1 d G 9 S Z W 1 v d m V k Q 2 9 s d W 1 u c z E u e 2 l u L D J 9 J n F 1 b 3 Q 7 L C Z x d W 9 0 O 1 N l Y 3 R p b 2 4 x L 0 N v b m N s d X N p b 2 4 v Q X V 0 b 1 J l b W 9 2 Z W R D b 2 x 1 b W 5 z M S 5 7 b 3 V 0 L D N 9 J n F 1 b 3 Q 7 L C Z x d W 9 0 O 1 N l Y 3 R p b 2 4 x L 0 N v b m N s d X N p b 2 4 v Q X V 0 b 1 J l b W 9 2 Z W R D b 2 x 1 b W 5 z M S 5 7 I F R v d G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v d X Q s M 3 0 m c X V v d D s s J n F 1 b 3 Q 7 U 2 V j d G l v b j E v Q 2 9 u Y 2 x 1 c 2 l v b i 9 B d X R v U m V t b 3 Z l Z E N v b H V t b n M x L n s g V G 9 0 Y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N s d X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d l Z W t J R C Z x d W 9 0 O y w m c X V v d D t X Z W V r T m 8 m c X V v d D s s J n F 1 b 3 Q 7 R 2 F p b i Z x d W 9 0 O 1 0 i I C 8 + P E V u d H J 5 I F R 5 c G U 9 I k Z p b G x D b 2 x 1 b W 5 U e X B l c y I g V m F s d W U 9 I n N B Q U F G I i A v P j x F b n R y e S B U e X B l P S J G a W x s T G F z d F V w Z G F 0 Z W Q i I F Z h b H V l P S J k M j A y N C 0 w M S 0 y M F Q w N z o 0 M z o z O C 4 1 N z Q 0 M j Y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T I w M G N l N T I t N T J l M i 0 0 M 2 J k L W E 5 M z c t Z G U 0 Y T E 0 N G E w Z G N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l u L 0 F 1 d G 9 S Z W 1 v d m V k Q 2 9 s d W 1 u c z E u e 1 d l Z W t J R C w w f S Z x d W 9 0 O y w m c X V v d D t T Z W N 0 a W 9 u M S 9 H Y W l u L 0 F 1 d G 9 S Z W 1 v d m V k Q 2 9 s d W 1 u c z E u e 1 d l Z W t O b y w x f S Z x d W 9 0 O y w m c X V v d D t T Z W N 0 a W 9 u M S 9 H Y W l u L 0 F 1 d G 9 S Z W 1 v d m V k Q 2 9 s d W 1 u c z E u e 0 d h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F p b i 9 B d X R v U m V t b 3 Z l Z E N v b H V t b n M x L n t X Z W V r S U Q s M H 0 m c X V v d D s s J n F 1 b 3 Q 7 U 2 V j d G l v b j E v R 2 F p b i 9 B d X R v U m V t b 3 Z l Z E N v b H V t b n M x L n t X Z W V r T m 8 s M X 0 m c X V v d D s s J n F 1 b 3 Q 7 U 2 V j d G l v b j E v R 2 F p b i 9 B d X R v U m V t b 3 Z l Z E N v b H V t b n M x L n t H Y W l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k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C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k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x L T I w V D A 4 O j I z O j Q 5 L j E 5 N z A 3 N z l a I i A v P j x F b n R y e S B U e X B l P S J G a W x s Q 2 9 s d W 1 u V H l w Z X M i I F Z h b H V l P S J z Q U F B R k F B P T 0 i I C 8 + P E V u d H J 5 I F R 5 c G U 9 I k Z p b G x D b 2 x 1 b W 5 O Y W 1 l c y I g V m F s d W U 9 I n N b J n F 1 b 3 Q 7 V 2 V l a 0 l E J n F 1 b 3 Q 7 L C Z x d W 9 0 O 1 d l Z W t O b y Z x d W 9 0 O y w m c X V v d D t G a X h l Z F N 1 b S Z x d W 9 0 O y w m c X V v d D t O b 3 R G a X h l Z F N 1 b S Z x d W 9 0 O 1 0 i I C 8 + P E V u d H J 5 I F R 5 c G U 9 I k Z p b G x T d G F 0 d X M i I F Z h b H V l P S J z Q 2 9 t c G x l d G U i I C 8 + P E V u d H J 5 I F R 5 c G U 9 I l F 1 Z X J 5 S U Q i I F Z h b H V l P S J z O T I 1 M m M w M T k t M D I 1 M i 0 0 N T A x L T k 3 N D Y t M W E 0 N W R l Z G E w N W I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x s V 2 V l a 0 N o Y X J 0 Q n l G a X g v Q X V 0 b 1 J l b W 9 2 Z W R D b 2 x 1 b W 5 z M S 5 7 V 2 V l a 0 l E L D B 9 J n F 1 b 3 Q 7 L C Z x d W 9 0 O 1 N l Y 3 R p b 2 4 x L 0 Z 1 b G x X Z W V r Q 2 h h c n R C e U Z p e C 9 B d X R v U m V t b 3 Z l Z E N v b H V t b n M x L n t X Z W V r T m 8 s M X 0 m c X V v d D s s J n F 1 b 3 Q 7 U 2 V j d G l v b j E v R n V s b F d l Z W t D a G F y d E J 5 R m l 4 L 0 F 1 d G 9 S Z W 1 v d m V k Q 2 9 s d W 1 u c z E u e 0 Z p e G V k U 3 V t L D J 9 J n F 1 b 3 Q 7 L C Z x d W 9 0 O 1 N l Y 3 R p b 2 4 x L 0 Z 1 b G x X Z W V r Q 2 h h c n R C e U Z p e C 9 B d X R v U m V t b 3 Z l Z E N v b H V t b n M x L n t O b 3 R G a X h l Z F N 1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x s V 2 V l a 0 N o Y X J 0 Q n l G a X g v Q X V 0 b 1 J l b W 9 2 Z W R D b 2 x 1 b W 5 z M S 5 7 V 2 V l a 0 l E L D B 9 J n F 1 b 3 Q 7 L C Z x d W 9 0 O 1 N l Y 3 R p b 2 4 x L 0 Z 1 b G x X Z W V r Q 2 h h c n R C e U Z p e C 9 B d X R v U m V t b 3 Z l Z E N v b H V t b n M x L n t X Z W V r T m 8 s M X 0 m c X V v d D s s J n F 1 b 3 Q 7 U 2 V j d G l v b j E v R n V s b F d l Z W t D a G F y d E J 5 R m l 4 L 0 F 1 d G 9 S Z W 1 v d m V k Q 2 9 s d W 1 u c z E u e 0 Z p e G V k U 3 V t L D J 9 J n F 1 b 3 Q 7 L C Z x d W 9 0 O 1 N l Y 3 R p b 2 4 x L 0 Z 1 b G x X Z W V r Q 2 h h c n R C e U Z p e C 9 B d X R v U m V t b 3 Z l Z E N v b H V t b n M x L n t O b 3 R G a X h l Z F N 1 b S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m v x S S q 5 p d F t W 4 9 5 u F X D p s A A A A A A g A A A A A A E G Y A A A A B A A A g A A A A S r k f O F z t E R r V A 4 u s U W k f G B 9 B H w h G U U y j 0 Q B J S k L 9 6 7 8 A A A A A D o A A A A A C A A A g A A A A t 0 g z 9 Z a l m W U h a T n 2 6 y O 9 l n F r 9 E k A 9 x f 8 i 1 b m c N U 3 L q 5 Q A A A A W T E d X 0 K G o o Z y G d b p w d V s F i D T S S q w O x 4 z 2 a C B 4 J A g x s 5 P T H w O g 1 u v 0 i x b D 9 2 F J J U J 2 b L L R 4 f D 1 a m k P Y 1 E X B U i c 0 q H k U W H Z N k 9 F j w n z 6 I N F D 1 A A A A A Q t w 4 E Z l O K 5 x R m Y R / m i u j m k z F l + H b f S V b 9 k H 6 + + m v o E M m E H i m x V X F Q J b T 4 m f d C 9 i y Q h v y T x q B n g R e 1 O + g F 1 v O t g = = < / D a t a M a s h u p > 
</file>

<file path=customXml/itemProps1.xml><?xml version="1.0" encoding="utf-8"?>
<ds:datastoreItem xmlns:ds="http://schemas.openxmlformats.org/officeDocument/2006/customXml" ds:itemID="{913334F4-489C-43D5-9AAB-A702AB5A3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Chart</vt:lpstr>
      <vt:lpstr>Tabular-</vt:lpstr>
      <vt:lpstr>Tabular+</vt:lpstr>
      <vt:lpstr>+</vt:lpstr>
      <vt:lpstr>-</vt:lpstr>
      <vt:lpstr>Data</vt:lpstr>
      <vt:lpstr>P_LogicalValue</vt:lpstr>
      <vt:lpstr>Chart!Print_Area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Sheima</dc:creator>
  <cp:lastModifiedBy>Mohammad Aboutalebi</cp:lastModifiedBy>
  <cp:lastPrinted>2023-05-14T13:04:57Z</cp:lastPrinted>
  <dcterms:created xsi:type="dcterms:W3CDTF">2023-05-05T09:06:46Z</dcterms:created>
  <dcterms:modified xsi:type="dcterms:W3CDTF">2024-01-20T08:49:49Z</dcterms:modified>
</cp:coreProperties>
</file>