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esktop\Git\Cash-Flow\"/>
    </mc:Choice>
  </mc:AlternateContent>
  <xr:revisionPtr revIDLastSave="0" documentId="13_ncr:1_{3F2E6A67-68F6-4643-8DD3-E3B6829D006A}" xr6:coauthVersionLast="47" xr6:coauthVersionMax="47" xr10:uidLastSave="{00000000-0000-0000-0000-000000000000}"/>
  <bookViews>
    <workbookView xWindow="-120" yWindow="-120" windowWidth="29040" windowHeight="15720" firstSheet="4" activeTab="9" xr2:uid="{4691B0D9-969A-4A7C-8756-E0D04635A92D}"/>
  </bookViews>
  <sheets>
    <sheet name="Tabular(-)" sheetId="25" state="hidden" r:id="rId1"/>
    <sheet name="Tabular(+)" sheetId="24" state="hidden" r:id="rId2"/>
    <sheet name="Tabular-" sheetId="13" state="hidden" r:id="rId3"/>
    <sheet name="Tabular+" sheetId="20" state="hidden" r:id="rId4"/>
    <sheet name="+" sheetId="19" r:id="rId5"/>
    <sheet name="-" sheetId="1" r:id="rId6"/>
    <sheet name="(+)" sheetId="22" r:id="rId7"/>
    <sheet name="(-)" sheetId="21" r:id="rId8"/>
    <sheet name="تراز" sheetId="18" r:id="rId9"/>
    <sheet name="پیش‌بینی" sheetId="27" r:id="rId10"/>
    <sheet name="واقعیت" sheetId="28" r:id="rId11"/>
    <sheet name="مقایسه" sheetId="29" r:id="rId12"/>
    <sheet name="Data" sheetId="2" r:id="rId13"/>
  </sheets>
  <definedNames>
    <definedName name="ExternalData_1" localSheetId="1" hidden="1">'Tabular(+)'!$A$1:$D$3</definedName>
    <definedName name="ExternalData_1" localSheetId="3" hidden="1">'Tabular+'!$A$1:$D$54</definedName>
    <definedName name="ExternalData_2" localSheetId="2" hidden="1">'Tabular-'!$A$1:$D$3</definedName>
    <definedName name="ExternalData_2" localSheetId="0" hidden="1">'Tabular(-)'!$A$1:$D$6</definedName>
    <definedName name="ExternalData_7" localSheetId="8" hidden="1">تراز!$AC$1:$AJ$54</definedName>
    <definedName name="L_InputGroup" localSheetId="11">T_RecieveGroup[Title]</definedName>
    <definedName name="L_InputGroup">T_RecieveGroup[Title]</definedName>
    <definedName name="L_OutputGroup" localSheetId="11">T_PayGroup[Title]</definedName>
    <definedName name="L_OutputGroup">T_PayGroup[Title]</definedName>
    <definedName name="_xlnm.Print_Area" localSheetId="8">تراز!$A$1:$Y$37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9" l="1"/>
  <c r="J4" i="19"/>
  <c r="D4" i="19"/>
  <c r="P5" i="19"/>
  <c r="U4" i="19"/>
  <c r="V5" i="19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2" i="13"/>
  <c r="E3" i="13"/>
  <c r="E2" i="24"/>
  <c r="E3" i="24"/>
  <c r="E2" i="25"/>
  <c r="E3" i="25"/>
  <c r="E4" i="25"/>
  <c r="E5" i="25"/>
  <c r="E6" i="25"/>
  <c r="AK2" i="18"/>
  <c r="AK3" i="18" s="1"/>
  <c r="AK4" i="18" s="1"/>
  <c r="AK5" i="18" s="1"/>
  <c r="AK6" i="18" s="1"/>
  <c r="AK7" i="18" s="1"/>
  <c r="AK8" i="18" s="1"/>
  <c r="AK9" i="18" s="1"/>
  <c r="AK10" i="18" s="1"/>
  <c r="AK11" i="18" s="1"/>
  <c r="AK12" i="18" s="1"/>
  <c r="AK13" i="18" s="1"/>
  <c r="AK14" i="18" s="1"/>
  <c r="AK15" i="18" s="1"/>
  <c r="AK16" i="18" s="1"/>
  <c r="AK17" i="18" s="1"/>
  <c r="AK18" i="18" s="1"/>
  <c r="AK19" i="18" s="1"/>
  <c r="AK20" i="18" s="1"/>
  <c r="AK21" i="18" s="1"/>
  <c r="AK22" i="18" s="1"/>
  <c r="AK23" i="18" s="1"/>
  <c r="AK24" i="18" s="1"/>
  <c r="AK25" i="18" s="1"/>
  <c r="AK26" i="18" s="1"/>
  <c r="AK27" i="18" s="1"/>
  <c r="AK28" i="18" s="1"/>
  <c r="AK29" i="18" s="1"/>
  <c r="AK30" i="18" s="1"/>
  <c r="AK31" i="18" s="1"/>
  <c r="AK32" i="18" s="1"/>
  <c r="AK33" i="18" s="1"/>
  <c r="AK34" i="18" s="1"/>
  <c r="AK35" i="18" s="1"/>
  <c r="AK36" i="18" s="1"/>
  <c r="AK37" i="18" s="1"/>
  <c r="AK38" i="18" s="1"/>
  <c r="AK39" i="18" s="1"/>
  <c r="AK40" i="18" s="1"/>
  <c r="AK41" i="18" s="1"/>
  <c r="AK42" i="18" s="1"/>
  <c r="AK43" i="18" s="1"/>
  <c r="AK44" i="18" s="1"/>
  <c r="AK45" i="18" s="1"/>
  <c r="AK46" i="18" s="1"/>
  <c r="AK47" i="18" s="1"/>
  <c r="AK48" i="18" s="1"/>
  <c r="AK49" i="18" s="1"/>
  <c r="AK50" i="18" s="1"/>
  <c r="AK51" i="18" s="1"/>
  <c r="AK52" i="18" s="1"/>
  <c r="AK53" i="18" s="1"/>
  <c r="AK54" i="18" s="1"/>
  <c r="BP5" i="22"/>
  <c r="BO5" i="22"/>
  <c r="BN5" i="22"/>
  <c r="BM5" i="22"/>
  <c r="BL5" i="22"/>
  <c r="BJ5" i="22"/>
  <c r="BI5" i="22"/>
  <c r="BH5" i="22"/>
  <c r="BG5" i="22"/>
  <c r="BE5" i="22"/>
  <c r="BD5" i="22"/>
  <c r="BC5" i="22"/>
  <c r="BB5" i="22"/>
  <c r="AZ5" i="22"/>
  <c r="AY5" i="22"/>
  <c r="AX5" i="22"/>
  <c r="AW5" i="22"/>
  <c r="AU5" i="22"/>
  <c r="AT5" i="22"/>
  <c r="AS5" i="22"/>
  <c r="AR5" i="22"/>
  <c r="AQ5" i="22"/>
  <c r="AO5" i="22"/>
  <c r="AN5" i="22"/>
  <c r="AM5" i="22"/>
  <c r="AL5" i="22"/>
  <c r="AJ5" i="22"/>
  <c r="AI5" i="22"/>
  <c r="AH5" i="22"/>
  <c r="AG5" i="22"/>
  <c r="AE5" i="22"/>
  <c r="AD5" i="22"/>
  <c r="AC5" i="22"/>
  <c r="AB5" i="22"/>
  <c r="AA5" i="22"/>
  <c r="Y5" i="22"/>
  <c r="X5" i="22"/>
  <c r="W5" i="22"/>
  <c r="V5" i="22"/>
  <c r="T5" i="22"/>
  <c r="S5" i="22"/>
  <c r="R5" i="22"/>
  <c r="Q5" i="22"/>
  <c r="P5" i="22"/>
  <c r="N5" i="22"/>
  <c r="M5" i="22"/>
  <c r="L5" i="22"/>
  <c r="K5" i="22"/>
  <c r="I5" i="22"/>
  <c r="H5" i="22"/>
  <c r="G5" i="22"/>
  <c r="F5" i="22"/>
  <c r="E5" i="22"/>
  <c r="BK4" i="22"/>
  <c r="BK5" i="22" s="1"/>
  <c r="BF4" i="22"/>
  <c r="BF5" i="22" s="1"/>
  <c r="BA4" i="22"/>
  <c r="BA5" i="22" s="1"/>
  <c r="AV4" i="22"/>
  <c r="AV5" i="22" s="1"/>
  <c r="AP4" i="22"/>
  <c r="AP5" i="22" s="1"/>
  <c r="AK4" i="22"/>
  <c r="AK5" i="22" s="1"/>
  <c r="AF4" i="22"/>
  <c r="AF5" i="22" s="1"/>
  <c r="Z4" i="22"/>
  <c r="Z5" i="22" s="1"/>
  <c r="U4" i="22"/>
  <c r="U5" i="22" s="1"/>
  <c r="O4" i="22"/>
  <c r="O5" i="22" s="1"/>
  <c r="J4" i="22"/>
  <c r="J5" i="22" s="1"/>
  <c r="D4" i="22"/>
  <c r="D5" i="22" s="1"/>
  <c r="BP5" i="21"/>
  <c r="BO5" i="21"/>
  <c r="BN5" i="21"/>
  <c r="BM5" i="21"/>
  <c r="BL5" i="21"/>
  <c r="BJ5" i="21"/>
  <c r="BI5" i="21"/>
  <c r="BH5" i="21"/>
  <c r="BG5" i="21"/>
  <c r="BE5" i="21"/>
  <c r="BD5" i="21"/>
  <c r="BC5" i="21"/>
  <c r="BB5" i="21"/>
  <c r="AZ5" i="21"/>
  <c r="AY5" i="21"/>
  <c r="AX5" i="21"/>
  <c r="AW5" i="21"/>
  <c r="AU5" i="21"/>
  <c r="AT5" i="21"/>
  <c r="AS5" i="21"/>
  <c r="AR5" i="21"/>
  <c r="AQ5" i="21"/>
  <c r="AO5" i="21"/>
  <c r="AN5" i="21"/>
  <c r="AM5" i="21"/>
  <c r="AL5" i="21"/>
  <c r="AJ5" i="21"/>
  <c r="AI5" i="21"/>
  <c r="AH5" i="21"/>
  <c r="AG5" i="21"/>
  <c r="AE5" i="21"/>
  <c r="AD5" i="21"/>
  <c r="AC5" i="21"/>
  <c r="AB5" i="21"/>
  <c r="AA5" i="21"/>
  <c r="Y5" i="21"/>
  <c r="X5" i="21"/>
  <c r="W5" i="21"/>
  <c r="V5" i="21"/>
  <c r="T5" i="21"/>
  <c r="S5" i="21"/>
  <c r="R5" i="21"/>
  <c r="Q5" i="21"/>
  <c r="P5" i="21"/>
  <c r="N5" i="21"/>
  <c r="M5" i="21"/>
  <c r="L5" i="21"/>
  <c r="K5" i="21"/>
  <c r="I5" i="21"/>
  <c r="H5" i="21"/>
  <c r="G5" i="21"/>
  <c r="F5" i="21"/>
  <c r="E5" i="21"/>
  <c r="BK4" i="21"/>
  <c r="BK5" i="21" s="1"/>
  <c r="BF4" i="21"/>
  <c r="BF5" i="21" s="1"/>
  <c r="BA4" i="21"/>
  <c r="BA5" i="21" s="1"/>
  <c r="AV4" i="21"/>
  <c r="AV5" i="21" s="1"/>
  <c r="AP4" i="21"/>
  <c r="AP5" i="21" s="1"/>
  <c r="AK4" i="21"/>
  <c r="AK5" i="21" s="1"/>
  <c r="AF4" i="21"/>
  <c r="AF5" i="21" s="1"/>
  <c r="Z4" i="21"/>
  <c r="Z5" i="21" s="1"/>
  <c r="U4" i="21"/>
  <c r="U5" i="21" s="1"/>
  <c r="O4" i="21"/>
  <c r="O5" i="21" s="1"/>
  <c r="J4" i="21"/>
  <c r="J5" i="21" s="1"/>
  <c r="D4" i="21"/>
  <c r="D5" i="21" s="1"/>
  <c r="C4" i="21"/>
  <c r="C5" i="21" s="1"/>
  <c r="C4" i="22" l="1"/>
  <c r="C5" i="22" s="1"/>
  <c r="D4" i="1"/>
  <c r="J4" i="1"/>
  <c r="J5" i="1" s="1"/>
  <c r="O4" i="1"/>
  <c r="U4" i="1"/>
  <c r="U5" i="1" s="1"/>
  <c r="Z4" i="1"/>
  <c r="AF4" i="1"/>
  <c r="AF5" i="1" s="1"/>
  <c r="AK4" i="1"/>
  <c r="AP4" i="1"/>
  <c r="AV4" i="1"/>
  <c r="AV5" i="1" s="1"/>
  <c r="BA4" i="1"/>
  <c r="BF4" i="1"/>
  <c r="BK4" i="1"/>
  <c r="BK5" i="1" s="1"/>
  <c r="J5" i="19"/>
  <c r="O5" i="19"/>
  <c r="U5" i="19"/>
  <c r="Z4" i="19"/>
  <c r="AF4" i="19"/>
  <c r="AF5" i="19" s="1"/>
  <c r="AK4" i="19"/>
  <c r="AK5" i="19" s="1"/>
  <c r="AP4" i="19"/>
  <c r="AP5" i="19" s="1"/>
  <c r="AV4" i="19"/>
  <c r="BA4" i="19"/>
  <c r="BA5" i="19" s="1"/>
  <c r="BF4" i="19"/>
  <c r="BF5" i="19" s="1"/>
  <c r="BK4" i="19"/>
  <c r="BP5" i="1"/>
  <c r="BO5" i="1"/>
  <c r="BN5" i="1"/>
  <c r="BM5" i="1"/>
  <c r="BL5" i="1"/>
  <c r="BJ5" i="1"/>
  <c r="BI5" i="1"/>
  <c r="BH5" i="1"/>
  <c r="BG5" i="1"/>
  <c r="BE5" i="1"/>
  <c r="BD5" i="1"/>
  <c r="BC5" i="1"/>
  <c r="BB5" i="1"/>
  <c r="AZ5" i="1"/>
  <c r="AY5" i="1"/>
  <c r="AX5" i="1"/>
  <c r="AW5" i="1"/>
  <c r="AU5" i="1"/>
  <c r="AT5" i="1"/>
  <c r="AS5" i="1"/>
  <c r="AR5" i="1"/>
  <c r="AQ5" i="1"/>
  <c r="AO5" i="1"/>
  <c r="AN5" i="1"/>
  <c r="AM5" i="1"/>
  <c r="AL5" i="1"/>
  <c r="AJ5" i="1"/>
  <c r="AI5" i="1"/>
  <c r="AH5" i="1"/>
  <c r="AG5" i="1"/>
  <c r="AE5" i="1"/>
  <c r="AD5" i="1"/>
  <c r="AC5" i="1"/>
  <c r="AB5" i="1"/>
  <c r="AA5" i="1"/>
  <c r="Y5" i="1"/>
  <c r="X5" i="1"/>
  <c r="W5" i="1"/>
  <c r="V5" i="1"/>
  <c r="T5" i="1"/>
  <c r="S5" i="1"/>
  <c r="R5" i="1"/>
  <c r="Q5" i="1"/>
  <c r="P5" i="1"/>
  <c r="N5" i="1"/>
  <c r="M5" i="1"/>
  <c r="L5" i="1"/>
  <c r="K5" i="1"/>
  <c r="I5" i="1"/>
  <c r="H5" i="1"/>
  <c r="G5" i="1"/>
  <c r="F5" i="1"/>
  <c r="E5" i="1"/>
  <c r="BP5" i="19"/>
  <c r="BO5" i="19"/>
  <c r="BN5" i="19"/>
  <c r="BM5" i="19"/>
  <c r="BL5" i="19"/>
  <c r="BJ5" i="19"/>
  <c r="BI5" i="19"/>
  <c r="BH5" i="19"/>
  <c r="BG5" i="19"/>
  <c r="BE5" i="19"/>
  <c r="BD5" i="19"/>
  <c r="BC5" i="19"/>
  <c r="BB5" i="19"/>
  <c r="AZ5" i="19"/>
  <c r="AY5" i="19"/>
  <c r="AX5" i="19"/>
  <c r="AW5" i="19"/>
  <c r="AU5" i="19"/>
  <c r="AT5" i="19"/>
  <c r="AS5" i="19"/>
  <c r="AR5" i="19"/>
  <c r="AQ5" i="19"/>
  <c r="AO5" i="19"/>
  <c r="AN5" i="19"/>
  <c r="AM5" i="19"/>
  <c r="AL5" i="19"/>
  <c r="AJ5" i="19"/>
  <c r="AI5" i="19"/>
  <c r="AH5" i="19"/>
  <c r="AG5" i="19"/>
  <c r="AE5" i="19"/>
  <c r="AD5" i="19"/>
  <c r="AC5" i="19"/>
  <c r="AB5" i="19"/>
  <c r="AA5" i="19"/>
  <c r="Y5" i="19"/>
  <c r="X5" i="19"/>
  <c r="W5" i="19"/>
  <c r="T5" i="19"/>
  <c r="S5" i="19"/>
  <c r="R5" i="19"/>
  <c r="Q5" i="19"/>
  <c r="N5" i="19"/>
  <c r="M5" i="19"/>
  <c r="L5" i="19"/>
  <c r="K5" i="19"/>
  <c r="I5" i="19"/>
  <c r="H5" i="19"/>
  <c r="G5" i="19"/>
  <c r="F5" i="19"/>
  <c r="E5" i="19"/>
  <c r="C4" i="19" l="1"/>
  <c r="C5" i="19" s="1"/>
  <c r="C4" i="1"/>
  <c r="C5" i="1" s="1"/>
  <c r="O5" i="1"/>
  <c r="BK5" i="19"/>
  <c r="Z5" i="19"/>
  <c r="AV5" i="19"/>
  <c r="AK5" i="1"/>
  <c r="AP5" i="1"/>
  <c r="Z5" i="1"/>
  <c r="BA5" i="1"/>
  <c r="BF5" i="1"/>
  <c r="D5" i="1"/>
  <c r="D5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91660C-930A-4FCB-A107-6C01C14E351F}" keepAlive="1" name="Query - -" description="Connection to the '-' query in the workbook." type="5" refreshedVersion="8" background="1" saveData="1">
    <dbPr connection="Provider=Microsoft.Mashup.OleDb.1;Data Source=$Workbook$;Location=-;Extended Properties=&quot;&quot;" command="SELECT * FROM [-]"/>
  </connection>
  <connection id="2" xr16:uid="{2D6C29DC-D638-46AC-B83E-B902508C3941}" keepAlive="1" name="Query - (-)" description="Connection to the '(-)' query in the workbook." type="5" refreshedVersion="0" background="1">
    <dbPr connection="Provider=Microsoft.Mashup.OleDb.1;Data Source=$Workbook$;Location=(-);Extended Properties=&quot;&quot;" command="SELECT * FROM [(-)]"/>
  </connection>
  <connection id="3" xr16:uid="{28EA7E5A-598F-4FE5-BC5E-EACA999D9B70}" keepAlive="1" name="Query - (+)" description="Connection to the '(+)' query in the workbook." type="5" refreshedVersion="0" background="1">
    <dbPr connection="Provider=Microsoft.Mashup.OleDb.1;Data Source=$Workbook$;Location=(+);Extended Properties=&quot;&quot;" command="SELECT * FROM [(+)]"/>
  </connection>
  <connection id="4" xr16:uid="{F98690D2-6757-4634-8012-5BA0AC6C082F}" keepAlive="1" name="Query - +" description="Connection to the '+' query in the workbook." type="5" refreshedVersion="0" background="1" saveData="1">
    <dbPr connection="Provider=Microsoft.Mashup.OleDb.1;Data Source=$Workbook$;Location=+;Extended Properties=&quot;&quot;" command="SELECT * FROM [+]"/>
  </connection>
  <connection id="5" xr16:uid="{9EC66411-86AE-4560-BEF8-403D1111EB39}" keepAlive="1" name="Query - Conclusion" description="Connection to the 'Conclusion' query in the workbook." type="5" refreshedVersion="8" saveData="1">
    <dbPr connection="Provider=Microsoft.Mashup.OleDb.1;Data Source=$Workbook$;Location=Conclusion;Extended Properties=&quot;&quot;" command="SELECT * FROM [Conclusion]"/>
  </connection>
  <connection id="6" xr16:uid="{B30DF827-361A-47C4-B6A0-168E1B0A4191}" keepAlive="1" name="Query - Conclusion (2)" description="Connection to the 'Conclusion (2)' query in the workbook." type="5" refreshedVersion="8" saveData="1">
    <dbPr connection="Provider=Microsoft.Mashup.OleDb.1;Data Source=$Workbook$;Location=&quot;Conclusion (2)&quot;;Extended Properties=&quot;&quot;" command="SELECT * FROM [Conclusion (2)]"/>
  </connection>
  <connection id="7" xr16:uid="{11E13E81-84B4-4CC8-A2CC-004F7FB8EF45}" keepAlive="1" name="Query - Tabular(-)" description="Connection to the 'Tabular(-)' query in the workbook." type="5" refreshedVersion="8" background="1" saveData="1">
    <dbPr connection="Provider=Microsoft.Mashup.OleDb.1;Data Source=$Workbook$;Location=Tabular(-);Extended Properties=&quot;&quot;" command="SELECT * FROM [Tabular(-)]"/>
  </connection>
  <connection id="8" xr16:uid="{24269DAF-35CA-44AC-861B-FC50698D24AF}" keepAlive="1" name="Query - Tabular(+)" description="Connection to the 'Tabular(+)' query in the workbook." type="5" refreshedVersion="8" background="1" saveData="1">
    <dbPr connection="Provider=Microsoft.Mashup.OleDb.1;Data Source=$Workbook$;Location=Tabular(+);Extended Properties=&quot;&quot;" command="SELECT * FROM [Tabular(+)]"/>
  </connection>
  <connection id="9" xr16:uid="{CCCCF8E6-FF5D-4DCB-AB93-F940EC297D14}" keepAlive="1" name="Query - Tabular-(1)" description="Connection to the 'Tabular-' query in the workbook." type="5" refreshedVersion="8" background="1" saveData="1">
    <dbPr connection="Provider=Microsoft.Mashup.OleDb.1;Data Source=$Workbook$;Location=Tabular-;Extended Properties=&quot;&quot;" command="SELECT * FROM [Tabular-]"/>
  </connection>
  <connection id="10" xr16:uid="{C52CE7EA-C0EC-4D7E-B331-B3140C7D4EF9}" keepAlive="1" name="Query - Tabular+" description="Connection to the 'Tabular+' query in the workbook." type="5" refreshedVersion="8" background="1" saveData="1">
    <dbPr connection="Provider=Microsoft.Mashup.OleDb.1;Data Source=$Workbook$;Location=Tabular+;Extended Properties=&quot;&quot;" command="SELECT * FROM [Tabular+]"/>
  </connection>
</connections>
</file>

<file path=xl/sharedStrings.xml><?xml version="1.0" encoding="utf-8"?>
<sst xmlns="http://schemas.openxmlformats.org/spreadsheetml/2006/main" count="647" uniqueCount="173">
  <si>
    <t>Title</t>
  </si>
  <si>
    <t>Week</t>
  </si>
  <si>
    <t>Amount</t>
  </si>
  <si>
    <t>Parameter</t>
  </si>
  <si>
    <t>فروردین</t>
  </si>
  <si>
    <t>اردیبهشت</t>
  </si>
  <si>
    <t>Summary 01</t>
  </si>
  <si>
    <t>Summary 02</t>
  </si>
  <si>
    <t>w12</t>
  </si>
  <si>
    <t>w24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</si>
  <si>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</si>
  <si>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</si>
  <si>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</si>
  <si>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</si>
  <si>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</si>
  <si>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</si>
  <si>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</si>
  <si>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</si>
  <si>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</si>
  <si>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</si>
  <si>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Summary 03</t>
  </si>
  <si>
    <t>Summary 04</t>
  </si>
  <si>
    <t>Summary 05</t>
  </si>
  <si>
    <t>Summary 06</t>
  </si>
  <si>
    <t>Summary 07</t>
  </si>
  <si>
    <t>Summary 08</t>
  </si>
  <si>
    <t>Summary 09</t>
  </si>
  <si>
    <t>Summary 10</t>
  </si>
  <si>
    <t>Summary 11</t>
  </si>
  <si>
    <t>Summary 12</t>
  </si>
  <si>
    <t>w27</t>
  </si>
  <si>
    <t>w10</t>
  </si>
  <si>
    <t>w11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</si>
  <si>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</si>
  <si>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</si>
  <si>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</si>
  <si>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</si>
  <si>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</si>
  <si>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</si>
  <si>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</si>
  <si>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</si>
  <si>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</si>
  <si>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</si>
  <si>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</si>
  <si>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w25</t>
  </si>
  <si>
    <t>w26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</si>
  <si>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</si>
  <si>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</si>
  <si>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</si>
  <si>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</si>
  <si>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</si>
  <si>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</si>
  <si>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</si>
  <si>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</si>
  <si>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</si>
  <si>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</si>
  <si>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</si>
  <si>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</si>
  <si>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</si>
  <si>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</si>
  <si>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</si>
  <si>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</si>
  <si>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</si>
  <si>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</si>
  <si>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</si>
  <si>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</si>
  <si>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</si>
  <si>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</si>
  <si>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</si>
  <si>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</si>
  <si>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</si>
  <si>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</si>
  <si>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</si>
  <si>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</si>
  <si>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</si>
  <si>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</si>
  <si>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</si>
  <si>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</si>
  <si>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</si>
  <si>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</si>
  <si>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w12'</t>
  </si>
  <si>
    <t>WeekNo</t>
  </si>
  <si>
    <t>15</t>
  </si>
  <si>
    <t>31</t>
  </si>
  <si>
    <t>22</t>
  </si>
  <si>
    <t>20</t>
  </si>
  <si>
    <t>11</t>
  </si>
  <si>
    <t>13</t>
  </si>
  <si>
    <t>Grand Total</t>
  </si>
  <si>
    <t>36</t>
  </si>
  <si>
    <t>41</t>
  </si>
  <si>
    <t>Amount(MT)</t>
  </si>
  <si>
    <t>50</t>
  </si>
  <si>
    <t>12</t>
  </si>
  <si>
    <t>14</t>
  </si>
  <si>
    <t>16</t>
  </si>
  <si>
    <t>17</t>
  </si>
  <si>
    <t>18</t>
  </si>
  <si>
    <t>19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</si>
  <si>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</si>
  <si>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</si>
  <si>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</si>
  <si>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</si>
  <si>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</si>
  <si>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</si>
  <si>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</si>
  <si>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</si>
  <si>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</si>
  <si>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</si>
  <si>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</si>
  <si>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</si>
  <si>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</si>
  <si>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</si>
  <si>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</si>
  <si>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</si>
  <si>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</si>
  <si>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</si>
  <si>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</si>
  <si>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</si>
  <si>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</si>
  <si>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</si>
  <si>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</si>
  <si>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</si>
  <si>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</si>
  <si>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</si>
  <si>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</si>
  <si>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</si>
  <si>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</si>
  <si>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</si>
  <si>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</si>
  <si>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</si>
  <si>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</si>
  <si>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</si>
  <si>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</si>
  <si>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</si>
  <si>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</si>
  <si>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12'</t>
  </si>
  <si>
    <t>ID</t>
  </si>
  <si>
    <t>WeekID</t>
  </si>
  <si>
    <t>PAY</t>
  </si>
  <si>
    <t>Receive</t>
  </si>
  <si>
    <t>0</t>
  </si>
  <si>
    <t>in</t>
  </si>
  <si>
    <t>out</t>
  </si>
  <si>
    <t xml:space="preserve"> Total</t>
  </si>
  <si>
    <t>Group</t>
  </si>
  <si>
    <t>Pay Group</t>
  </si>
  <si>
    <t>Receive Group</t>
  </si>
  <si>
    <t>گروه 1</t>
  </si>
  <si>
    <t>گروه 2</t>
  </si>
  <si>
    <t>گروه الف</t>
  </si>
  <si>
    <t>گروه ب</t>
  </si>
  <si>
    <t>دستمزد</t>
  </si>
  <si>
    <t>inP</t>
  </si>
  <si>
    <t>outP</t>
  </si>
  <si>
    <t>TotalP</t>
  </si>
  <si>
    <t>فروش</t>
  </si>
  <si>
    <t xml:space="preserve"> 31 | 30 | 29 | 28 | 27 | 26 | 25 | 24 | 23 | 22 | 21 | 20 | 19 | 18 | 17 | 16 | 15 | 14 | 13 | 12 | 11 | 10 | 09 | 08 | 07 | 06 | 05 | 04 | 03 | 02 | 01</t>
  </si>
  <si>
    <t xml:space="preserve"> 28 | 27 | 26 | 25 | 24 | 23 | 22 | 21 | 20 | 19 | 18 | 17 | 16 | 15 | 14 | 13 | 12 | 11 | 10 | 09 | 08 | 07 | 06 | 05 | 04 | 03 | 02 | 01</t>
  </si>
  <si>
    <t xml:space="preserve"> 29 | 28 | 27 | 26 | 25 | 24 | 23 | 22 | 21 | 20 | 19 | 18 | 17 | 16 | 15 | 14 | 13 | 12 | 11 | 10 | 09 | 08 | 07 | 06 | 05 | 04 | 03 | 02</t>
  </si>
  <si>
    <r>
      <rPr>
        <sz val="9"/>
        <color theme="1" tint="0.14999847407452621"/>
        <rFont val="Courier New"/>
        <family val="3"/>
      </rPr>
      <t xml:space="preserve"> 02 | 01 | </t>
    </r>
    <r>
      <rPr>
        <sz val="9"/>
        <color rgb="FF96A8A2"/>
        <rFont val="Courier New"/>
        <family val="3"/>
      </rPr>
      <t>31 | 30 | 29 | 28 | 27 | 26 | 25 | 24 | 23 | 22 | 21 | 20 | 19 | 18 | 17 | 16 | 15 | 14 | 13 | 12 | 11 | 10 | 09 | 08 | 07 | 06 | 05 | 04 | 03 | 02 | 01</t>
    </r>
    <r>
      <rPr>
        <sz val="9"/>
        <color theme="1" tint="0.14999847407452621"/>
        <rFont val="Courier New"/>
        <family val="3"/>
      </rPr>
      <t xml:space="preserve"> | 31 | 30</t>
    </r>
  </si>
  <si>
    <t xml:space="preserve"> 30 | 29 | 28 | 27 | 26 | 25 | 24 | 23 | 22 | 21 | 20 | 19 | 18 | 17 | 16 | 15 | 14 | 13 | 12 | 11 | 10 | 09 | 08 | 07 | 06 | 05 | 04 | 03</t>
  </si>
  <si>
    <r>
      <t xml:space="preserve"> 27 | 26 | 25 | 24 | 23 | 22 | 21 | 20 | 19 | 18 | 17 | 16 | 15 | 14 | 13 | 12 | 11 | 10 | 09 | 08 | 07 | 06 | 05 | 04 | 03 | 02 | 01</t>
    </r>
    <r>
      <rPr>
        <sz val="9"/>
        <color theme="1" tint="0.14999847407452621"/>
        <rFont val="Courier New"/>
        <family val="3"/>
      </rPr>
      <t xml:space="preserve"> | 31</t>
    </r>
  </si>
  <si>
    <r>
      <t xml:space="preserve"> 26 | 25 | 24 | 23 | 22 | 21 | 20 | 19 | 18 | 17 | 16 | 15 | 14 | 13 | 12 | 11 | 10 | 09 | 08 | 07 | 06 | 05 | 04 | 03 | 02 | 01</t>
    </r>
    <r>
      <rPr>
        <sz val="9"/>
        <color theme="1" tint="0.14999847407452621"/>
        <rFont val="Courier New"/>
        <family val="3"/>
      </rPr>
      <t xml:space="preserve"> | 30 | 29</t>
    </r>
  </si>
  <si>
    <r>
      <t xml:space="preserve"> 30 | 29 | 28 | 27 | 26 | 25 | 24 | 23 | 22 | 21 | 20 | 19 | 18 | 17 | 16 | 15 | 14 | 13 | 12 | 11 | 10 | 09 | 08 | 07 | 06 | 05 | 04 | 03 | 02 | 01</t>
    </r>
    <r>
      <rPr>
        <sz val="9"/>
        <color theme="1" tint="0.14999847407452621"/>
        <rFont val="Courier New"/>
        <family val="3"/>
      </rPr>
      <t xml:space="preserve"> | 30 | 29 | 28 | 27</t>
    </r>
  </si>
  <si>
    <r>
      <t xml:space="preserve"> </t>
    </r>
    <r>
      <rPr>
        <sz val="9"/>
        <color theme="1" tint="0.14999847407452621"/>
        <rFont val="Courier New"/>
        <family val="3"/>
      </rPr>
      <t>01 |</t>
    </r>
    <r>
      <rPr>
        <sz val="9"/>
        <color rgb="FF96A8A2"/>
        <rFont val="Courier New"/>
        <family val="3"/>
      </rPr>
      <t xml:space="preserve"> 31 | 30 | 29 | 28 | 27 | 26 | 25 | 24 | 23 | 22 | 21 | 20 | 19 | 18 | 17 | 16 | 15 | 14 | 13 | 12 | 11 | 10 | 09 | 08 | 07 | 06 | 05 | 04 | 03 | 02 | 01 </t>
    </r>
    <r>
      <rPr>
        <sz val="9"/>
        <color theme="1" tint="0.14999847407452621"/>
        <rFont val="Courier New"/>
        <family val="3"/>
      </rPr>
      <t>| 31 | 30 | 29</t>
    </r>
  </si>
  <si>
    <r>
      <rPr>
        <sz val="9"/>
        <color theme="1" tint="0.14999847407452621"/>
        <rFont val="Courier New"/>
        <family val="3"/>
      </rPr>
      <t xml:space="preserve"> 02 | 01 |</t>
    </r>
    <r>
      <rPr>
        <sz val="9"/>
        <color rgb="FF96A8A2"/>
        <rFont val="Courier New"/>
        <family val="3"/>
      </rPr>
      <t xml:space="preserve"> 30 | 29 | 28 |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30 | 29 | 28</t>
    </r>
  </si>
  <si>
    <r>
      <rPr>
        <sz val="9"/>
        <color theme="2" tint="-0.749992370372631"/>
        <rFont val="Courier New"/>
        <family val="3"/>
      </rPr>
      <t xml:space="preserve"> 01 |</t>
    </r>
    <r>
      <rPr>
        <sz val="9"/>
        <color rgb="FFEDAFB8"/>
        <rFont val="Courier New"/>
        <family val="3"/>
      </rPr>
      <t xml:space="preserve"> 31 | 30 | 29 | 28 |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31 | 30 | 29</t>
    </r>
  </si>
  <si>
    <r>
      <t xml:space="preserve"> </t>
    </r>
    <r>
      <rPr>
        <sz val="9"/>
        <color theme="2" tint="-0.749992370372631"/>
        <rFont val="Courier New"/>
        <family val="3"/>
      </rPr>
      <t>02 | 01 |</t>
    </r>
    <r>
      <rPr>
        <sz val="9"/>
        <color rgb="FFEDAFB8"/>
        <rFont val="Courier New"/>
        <family val="3"/>
      </rPr>
      <t xml:space="preserve"> 31 | 30 | 29 | 28 |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31 | 30</t>
    </r>
  </si>
  <si>
    <r>
      <t xml:space="preserve">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31</t>
    </r>
  </si>
  <si>
    <r>
      <rPr>
        <sz val="9"/>
        <color theme="2" tint="-0.749992370372631"/>
        <rFont val="Courier New"/>
        <family val="3"/>
      </rPr>
      <t xml:space="preserve"> 02 | 01 |</t>
    </r>
    <r>
      <rPr>
        <sz val="9"/>
        <color rgb="FFEDAFB8"/>
        <rFont val="Courier New"/>
        <family val="3"/>
      </rPr>
      <t xml:space="preserve"> 30 | 29 | 28 |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30 | 29 | 28</t>
    </r>
  </si>
  <si>
    <r>
      <t xml:space="preserve">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30 | 29</t>
    </r>
  </si>
  <si>
    <r>
      <t xml:space="preserve"> 30 | 29 | 28 | 27 | 26 | 25 | 24 | 23 | 22 | 21 | 20 | 19 | 18 | 17 | 16 | 15 | 14 | 13 | 12 | 11 | 10 | 09 | 08 | 07 | 06 | 05 | 04 | 03 | 02 | 01 </t>
    </r>
    <r>
      <rPr>
        <sz val="9"/>
        <color theme="2" tint="-0.749992370372631"/>
        <rFont val="Courier New"/>
        <family val="3"/>
      </rPr>
      <t>| 30 | 29 | 28 | 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</si>
</sst>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* #,##0_-&quot;ريال&quot;_ ;_ * #,##0\-&quot;ريال&quot;_ ;_ * &quot;-&quot;_-&quot;ريال&quot;_ ;_ @_ "/>
    <numFmt numFmtId="165" formatCode="_ * #,##0.00_-_ ;_ * #,##0.00\-_ ;_ * &quot;-&quot;??_-_ ;_ @_ "/>
    <numFmt numFmtId="166" formatCode="_ * #,##0_-_ ;_ * #,##0\-_ ;_ * &quot;-&quot;??_-_ ;_ @_ "/>
    <numFmt numFmtId="167" formatCode="_ * #,##0_-\م\ی\ل\ی\و\ن\ \ت\و\م\ا\ن_ ;_ * #,##0\-\م\ی\ل\ی\و\ن\ \ت\و\م\ا\ن_ ;_ * &quot;-&quot;_-\م\ی\ل\ی\و\ن\ \ت\و\م\ا\ن_ ;_ @_ "/>
    <numFmt numFmtId="168" formatCode="_ * #,##0_-&quot;ريال&quot;_ ;_ * #,##0\-&quot;ريال&quot;_ ;_ * &quot;-&quot;??_-&quot;ريال&quot;_ ;_ @_ "/>
  </numFmts>
  <fonts count="40" x14ac:knownFonts="1"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20"/>
      <color theme="0" tint="-0.499984740745262"/>
      <name val="Mutant Academy BB"/>
    </font>
    <font>
      <sz val="40"/>
      <color theme="0" tint="-0.499984740745262"/>
      <name val="Mutant Academy BB"/>
    </font>
    <font>
      <sz val="11"/>
      <color theme="0" tint="-4.9989318521683403E-2"/>
      <name val="Arial"/>
      <family val="2"/>
      <charset val="178"/>
      <scheme val="minor"/>
    </font>
    <font>
      <sz val="11"/>
      <color theme="0" tint="-0.14999847407452621"/>
      <name val="Arial"/>
      <family val="2"/>
      <charset val="178"/>
      <scheme val="minor"/>
    </font>
    <font>
      <sz val="28"/>
      <color theme="1" tint="0.34998626667073579"/>
      <name val="Mutant Academy BB"/>
    </font>
    <font>
      <sz val="11"/>
      <color theme="0"/>
      <name val="Arial"/>
      <family val="2"/>
      <charset val="178"/>
      <scheme val="minor"/>
    </font>
    <font>
      <sz val="11"/>
      <color theme="1"/>
      <name val="Mustang"/>
      <family val="2"/>
    </font>
    <font>
      <sz val="40"/>
      <color theme="0" tint="-0.499984740745262"/>
      <name val="Mustang"/>
      <family val="2"/>
    </font>
    <font>
      <sz val="11"/>
      <color theme="1" tint="0.249977111117893"/>
      <name val="Mustang"/>
      <family val="2"/>
    </font>
    <font>
      <sz val="11"/>
      <color theme="0" tint="-0.249977111117893"/>
      <name val="Mustang"/>
      <family val="2"/>
    </font>
    <font>
      <sz val="10"/>
      <color theme="1" tint="0.249977111117893"/>
      <name val="Mustang"/>
      <family val="2"/>
    </font>
    <font>
      <sz val="11"/>
      <name val="Mustang"/>
      <family val="2"/>
    </font>
    <font>
      <sz val="28"/>
      <color theme="1" tint="0.34998626667073579"/>
      <name val="Mustang"/>
      <family val="2"/>
    </font>
    <font>
      <sz val="11"/>
      <color rgb="FFFF7C80"/>
      <name val="Mustang"/>
      <family val="2"/>
    </font>
    <font>
      <sz val="20"/>
      <color theme="0" tint="-4.9989318521683403E-2"/>
      <name val="Mustang"/>
      <family val="2"/>
    </font>
    <font>
      <sz val="9"/>
      <color theme="1" tint="0.249977111117893"/>
      <name val="Mustang"/>
      <family val="2"/>
    </font>
    <font>
      <sz val="10"/>
      <color theme="1"/>
      <name val="Mustang"/>
      <family val="2"/>
    </font>
    <font>
      <sz val="10"/>
      <color theme="0"/>
      <name val="Mustang"/>
      <family val="2"/>
    </font>
    <font>
      <sz val="11"/>
      <color rgb="FF96A8A2"/>
      <name val="Mustang"/>
      <family val="2"/>
    </font>
    <font>
      <sz val="20"/>
      <color rgb="FFC4D4CB"/>
      <name val="Mustang"/>
      <family val="2"/>
    </font>
    <font>
      <sz val="16"/>
      <color rgb="FFC4D4CB"/>
      <name val="Mustang"/>
      <family val="2"/>
    </font>
    <font>
      <sz val="11"/>
      <color rgb="FFC4D4CB"/>
      <name val="Mustang"/>
      <family val="2"/>
    </font>
    <font>
      <sz val="9"/>
      <color theme="1"/>
      <name val="Mustang"/>
      <family val="2"/>
    </font>
    <font>
      <sz val="11"/>
      <name val="Arial"/>
      <family val="2"/>
      <charset val="178"/>
      <scheme val="minor"/>
    </font>
    <font>
      <sz val="11"/>
      <color rgb="FF96A8A2"/>
      <name val="Courier New"/>
      <family val="3"/>
    </font>
    <font>
      <sz val="9"/>
      <color rgb="FF96A8A2"/>
      <name val="Courier New"/>
      <family val="3"/>
    </font>
    <font>
      <b/>
      <sz val="9"/>
      <color rgb="FF96A8A2"/>
      <name val="Courier New"/>
      <family val="3"/>
    </font>
    <font>
      <sz val="9"/>
      <color theme="1" tint="0.14999847407452621"/>
      <name val="Courier New"/>
      <family val="3"/>
    </font>
    <font>
      <sz val="9"/>
      <color theme="2" tint="-0.749992370372631"/>
      <name val="Courier New"/>
      <family val="3"/>
    </font>
    <font>
      <sz val="20"/>
      <color rgb="FFB0C4B1"/>
      <name val="Mustang"/>
      <family val="2"/>
    </font>
    <font>
      <sz val="16"/>
      <color rgb="FFB0C4B1"/>
      <name val="Mustang"/>
      <family val="2"/>
    </font>
    <font>
      <sz val="11"/>
      <color rgb="FFB0C4B1"/>
      <name val="Mustang"/>
      <family val="2"/>
    </font>
    <font>
      <sz val="20"/>
      <color rgb="FFEDAFB8"/>
      <name val="Mustang"/>
      <family val="2"/>
    </font>
    <font>
      <sz val="16"/>
      <color rgb="FFEDAFB8"/>
      <name val="Mustang"/>
      <family val="2"/>
    </font>
    <font>
      <sz val="11"/>
      <color rgb="FFEDAFB8"/>
      <name val="Mustang"/>
      <family val="2"/>
    </font>
    <font>
      <b/>
      <sz val="9"/>
      <color rgb="FFEDAFB8"/>
      <name val="Courier New"/>
      <family val="3"/>
    </font>
    <font>
      <sz val="9"/>
      <color rgb="FFEDAFB8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4D4CB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6A8A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B0C4B1"/>
        <bgColor indexed="64"/>
      </patternFill>
    </fill>
    <fill>
      <patternFill patternType="solid">
        <fgColor rgb="FFEDAFB8"/>
        <bgColor indexed="64"/>
      </patternFill>
    </fill>
    <fill>
      <patternFill patternType="solid">
        <fgColor rgb="FF4A5759"/>
        <bgColor indexed="64"/>
      </patternFill>
    </fill>
    <fill>
      <patternFill patternType="solid">
        <fgColor rgb="FFC1666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49" fontId="11" fillId="0" borderId="0" xfId="1" applyNumberFormat="1" applyFont="1" applyFill="1" applyBorder="1" applyAlignment="1">
      <alignment horizontal="center"/>
    </xf>
    <xf numFmtId="166" fontId="12" fillId="0" borderId="0" xfId="1" applyNumberFormat="1" applyFont="1" applyFill="1" applyBorder="1" applyAlignment="1">
      <alignment horizontal="center"/>
    </xf>
    <xf numFmtId="49" fontId="11" fillId="0" borderId="0" xfId="1" applyNumberFormat="1" applyFont="1" applyFill="1" applyAlignment="1">
      <alignment horizontal="center"/>
    </xf>
    <xf numFmtId="166" fontId="12" fillId="0" borderId="0" xfId="1" applyNumberFormat="1" applyFont="1" applyFill="1" applyAlignment="1">
      <alignment horizontal="center"/>
    </xf>
    <xf numFmtId="0" fontId="10" fillId="0" borderId="0" xfId="0" applyFont="1"/>
    <xf numFmtId="0" fontId="14" fillId="0" borderId="0" xfId="0" applyFont="1" applyAlignment="1">
      <alignment horizontal="right"/>
    </xf>
    <xf numFmtId="0" fontId="9" fillId="4" borderId="0" xfId="0" applyFont="1" applyFill="1"/>
    <xf numFmtId="49" fontId="18" fillId="0" borderId="0" xfId="0" applyNumberFormat="1" applyFont="1"/>
    <xf numFmtId="168" fontId="13" fillId="0" borderId="0" xfId="0" applyNumberFormat="1" applyFont="1"/>
    <xf numFmtId="164" fontId="13" fillId="3" borderId="0" xfId="0" applyNumberFormat="1" applyFont="1" applyFill="1"/>
    <xf numFmtId="164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9" fillId="0" borderId="0" xfId="0" applyFont="1"/>
    <xf numFmtId="167" fontId="20" fillId="0" borderId="0" xfId="0" applyNumberFormat="1" applyFont="1"/>
    <xf numFmtId="164" fontId="19" fillId="0" borderId="0" xfId="0" applyNumberFormat="1" applyFont="1"/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15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5" fillId="4" borderId="0" xfId="0" applyFont="1" applyFill="1" applyAlignment="1">
      <alignment horizontal="right"/>
    </xf>
    <xf numFmtId="0" fontId="25" fillId="0" borderId="0" xfId="0" applyFont="1" applyAlignment="1">
      <alignment horizontal="right"/>
    </xf>
    <xf numFmtId="0" fontId="25" fillId="0" borderId="0" xfId="0" applyFont="1"/>
    <xf numFmtId="0" fontId="25" fillId="7" borderId="0" xfId="0" applyFont="1" applyFill="1" applyAlignment="1">
      <alignment horizontal="right"/>
    </xf>
    <xf numFmtId="0" fontId="25" fillId="5" borderId="0" xfId="0" applyFont="1" applyFill="1" applyAlignment="1">
      <alignment horizontal="right"/>
    </xf>
    <xf numFmtId="166" fontId="25" fillId="0" borderId="0" xfId="1" applyNumberFormat="1" applyFont="1"/>
    <xf numFmtId="0" fontId="25" fillId="0" borderId="0" xfId="0" applyFont="1" applyAlignment="1">
      <alignment horizontal="center"/>
    </xf>
    <xf numFmtId="0" fontId="25" fillId="6" borderId="0" xfId="0" applyFont="1" applyFill="1" applyAlignment="1">
      <alignment horizontal="right"/>
    </xf>
    <xf numFmtId="0" fontId="26" fillId="0" borderId="0" xfId="0" applyFont="1"/>
    <xf numFmtId="0" fontId="3" fillId="0" borderId="0" xfId="0" applyFont="1" applyAlignment="1">
      <alignment horizontal="center" wrapText="1"/>
    </xf>
    <xf numFmtId="0" fontId="8" fillId="0" borderId="0" xfId="0" applyFont="1"/>
    <xf numFmtId="0" fontId="27" fillId="0" borderId="0" xfId="0" applyFont="1" applyAlignment="1">
      <alignment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4" fillId="0" borderId="0" xfId="0" applyFont="1"/>
    <xf numFmtId="0" fontId="9" fillId="9" borderId="0" xfId="0" applyFont="1" applyFill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7" fillId="0" borderId="0" xfId="0" applyFont="1"/>
    <xf numFmtId="0" fontId="7" fillId="0" borderId="0" xfId="0" applyFont="1" applyAlignment="1">
      <alignment horizontal="right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29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14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38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omma 2" xfId="2" xr:uid="{E9BF5F0B-D63B-49C5-84FC-830AF179FD07}"/>
    <cellStyle name="Normal" xfId="0" builtinId="0"/>
  </cellStyles>
  <dxfs count="6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Mustang"/>
        <family val="2"/>
        <scheme val="none"/>
      </font>
      <numFmt numFmtId="166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Mustang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color rgb="FF404040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rgb="FFEDAFB8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color rgb="FF404040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rgb="FFC4D4CB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 tint="0.249977111117893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rgb="FFEDAFB8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color rgb="FF404040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rgb="FFB0C4B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166" formatCode="_ * #,##0_-_ ;_ * #,##0\-_ ;_ * &quot;-&quot;??_-_ ;_ @_ 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166" formatCode="_ * #,##0_-_ ;_ * #,##0\-_ ;_ * &quot;-&quot;??_-_ ;_ @_ 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  <fill>
        <patternFill patternType="solid">
          <fgColor indexed="64"/>
          <bgColor rgb="FF96A8A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166" formatCode="_ * #,##0_-_ ;_ * #,##0\-_ ;_ * &quot;-&quot;??_-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166" formatCode="_ * #,##0_-_ ;_ * #,##0\-_ ;_ * &quot;-&quot;??_-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ustang"/>
        <family val="2"/>
        <scheme val="none"/>
      </font>
      <fill>
        <patternFill patternType="solid">
          <fgColor indexed="64"/>
          <bgColor rgb="FFFF9999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fill>
        <patternFill patternType="solid">
          <fgColor indexed="64"/>
          <bgColor rgb="FFC4D4CB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Mustang"/>
        <family val="2"/>
        <scheme val="none"/>
      </font>
      <fill>
        <patternFill patternType="solid">
          <fgColor indexed="64"/>
          <bgColor rgb="FFFFCCCC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>
          <bgColor theme="1" tint="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Details" pivot="0" count="7" xr9:uid="{6893046F-13DC-4895-B84A-D30F0A6C54E9}">
      <tableStyleElement type="wholeTable" dxfId="611"/>
      <tableStyleElement type="headerRow" dxfId="610"/>
      <tableStyleElement type="totalRow" dxfId="609"/>
      <tableStyleElement type="firstColumn" dxfId="608"/>
      <tableStyleElement type="lastColumn" dxfId="607"/>
      <tableStyleElement type="firstRowStripe" dxfId="606"/>
      <tableStyleElement type="firstColumnStripe" dxfId="605"/>
    </tableStyle>
  </tableStyles>
  <colors>
    <mruColors>
      <color rgb="FFB0C4B1"/>
      <color rgb="FFC1666B"/>
      <color rgb="FFEDAFB8"/>
      <color rgb="FFF7E1D7"/>
      <color rgb="FF4A5759"/>
      <color rgb="FFC81D11"/>
      <color rgb="FF0067A5"/>
      <color rgb="FFFF9999"/>
      <color rgb="FF6F867F"/>
      <color rgb="FFC4D4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defRPr>
            </a:pPr>
            <a:r>
              <a:rPr lang="fa-IR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مقایسه</a:t>
            </a:r>
            <a:r>
              <a:rPr lang="fa-IR" baseline="0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پیش‌بینی و واقعیت</a:t>
            </a:r>
            <a:r>
              <a:rPr lang="fa-IR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تراز </a:t>
            </a:r>
            <a:r>
              <a:rPr lang="fa-IR">
                <a:solidFill>
                  <a:srgbClr val="B0C4B1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دریافت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و </a:t>
            </a:r>
            <a:r>
              <a:rPr lang="fa-IR" baseline="0">
                <a:solidFill>
                  <a:srgbClr val="EDAFB8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پرداخت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های هر هفته</a:t>
            </a:r>
            <a:endParaRPr lang="en-US">
              <a:solidFill>
                <a:srgbClr val="FF9999"/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endParaRPr>
          </a:p>
        </c:rich>
      </c:tx>
      <c:overlay val="0"/>
      <c:spPr>
        <a:solidFill>
          <a:srgbClr val="F7E1D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Real</c:v>
          </c:tx>
          <c:spPr>
            <a:ln w="38100" cap="rnd">
              <a:solidFill>
                <a:srgbClr val="4A5759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تراز!$AK$2:$AK$54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0.495</c:v>
                </c:pt>
                <c:pt idx="7">
                  <c:v>0.495</c:v>
                </c:pt>
                <c:pt idx="8">
                  <c:v>0.495</c:v>
                </c:pt>
                <c:pt idx="9">
                  <c:v>0.495</c:v>
                </c:pt>
                <c:pt idx="10">
                  <c:v>0.495</c:v>
                </c:pt>
                <c:pt idx="11">
                  <c:v>0.495</c:v>
                </c:pt>
                <c:pt idx="12">
                  <c:v>0.495</c:v>
                </c:pt>
                <c:pt idx="13">
                  <c:v>0.495</c:v>
                </c:pt>
                <c:pt idx="14">
                  <c:v>0.495</c:v>
                </c:pt>
                <c:pt idx="15">
                  <c:v>0.495</c:v>
                </c:pt>
                <c:pt idx="16">
                  <c:v>0.495</c:v>
                </c:pt>
                <c:pt idx="17">
                  <c:v>0.495</c:v>
                </c:pt>
                <c:pt idx="18">
                  <c:v>0.495</c:v>
                </c:pt>
                <c:pt idx="19">
                  <c:v>0.495</c:v>
                </c:pt>
                <c:pt idx="20">
                  <c:v>0.495</c:v>
                </c:pt>
                <c:pt idx="21">
                  <c:v>0.495</c:v>
                </c:pt>
                <c:pt idx="22">
                  <c:v>0.495</c:v>
                </c:pt>
                <c:pt idx="23">
                  <c:v>0.495</c:v>
                </c:pt>
                <c:pt idx="24">
                  <c:v>0.495</c:v>
                </c:pt>
                <c:pt idx="25">
                  <c:v>0.495</c:v>
                </c:pt>
                <c:pt idx="26">
                  <c:v>0.495</c:v>
                </c:pt>
                <c:pt idx="27">
                  <c:v>0.495</c:v>
                </c:pt>
                <c:pt idx="28">
                  <c:v>0.495</c:v>
                </c:pt>
                <c:pt idx="29">
                  <c:v>0.495</c:v>
                </c:pt>
                <c:pt idx="30">
                  <c:v>0.495</c:v>
                </c:pt>
                <c:pt idx="31">
                  <c:v>0.495</c:v>
                </c:pt>
                <c:pt idx="32">
                  <c:v>0.495</c:v>
                </c:pt>
                <c:pt idx="33">
                  <c:v>0.495</c:v>
                </c:pt>
                <c:pt idx="34">
                  <c:v>0.495</c:v>
                </c:pt>
                <c:pt idx="35">
                  <c:v>0.495</c:v>
                </c:pt>
                <c:pt idx="36">
                  <c:v>0.495</c:v>
                </c:pt>
                <c:pt idx="37">
                  <c:v>0.495</c:v>
                </c:pt>
                <c:pt idx="38">
                  <c:v>0.495</c:v>
                </c:pt>
                <c:pt idx="39">
                  <c:v>0.495</c:v>
                </c:pt>
                <c:pt idx="40">
                  <c:v>0.495</c:v>
                </c:pt>
                <c:pt idx="41">
                  <c:v>0.495</c:v>
                </c:pt>
                <c:pt idx="42">
                  <c:v>0.495</c:v>
                </c:pt>
                <c:pt idx="43">
                  <c:v>0.495</c:v>
                </c:pt>
                <c:pt idx="44">
                  <c:v>0.495</c:v>
                </c:pt>
                <c:pt idx="45">
                  <c:v>0.495</c:v>
                </c:pt>
                <c:pt idx="46">
                  <c:v>0.495</c:v>
                </c:pt>
                <c:pt idx="47">
                  <c:v>0.495</c:v>
                </c:pt>
                <c:pt idx="48">
                  <c:v>0.495</c:v>
                </c:pt>
                <c:pt idx="49">
                  <c:v>0.495</c:v>
                </c:pt>
                <c:pt idx="50">
                  <c:v>0.495</c:v>
                </c:pt>
                <c:pt idx="51">
                  <c:v>0.495</c:v>
                </c:pt>
                <c:pt idx="52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5-4152-B1D9-0CD7CA38B3C6}"/>
            </c:ext>
          </c:extLst>
        </c:ser>
        <c:ser>
          <c:idx val="5"/>
          <c:order val="1"/>
          <c:tx>
            <c:v>Forecast</c:v>
          </c:tx>
          <c:spPr>
            <a:ln w="38100" cap="rnd">
              <a:solidFill>
                <a:srgbClr val="4A5759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تراز!$AJ$2:$AJ$54</c:f>
              <c:numCache>
                <c:formatCode>General</c:formatCode>
                <c:ptCount val="53"/>
                <c:pt idx="0">
                  <c:v>0</c:v>
                </c:pt>
                <c:pt idx="1">
                  <c:v>0.2</c:v>
                </c:pt>
                <c:pt idx="2">
                  <c:v>-0.3</c:v>
                </c:pt>
                <c:pt idx="3">
                  <c:v>-0.4</c:v>
                </c:pt>
                <c:pt idx="4">
                  <c:v>0</c:v>
                </c:pt>
                <c:pt idx="5">
                  <c:v>0</c:v>
                </c:pt>
                <c:pt idx="6">
                  <c:v>-5.0000000000000001E-3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0.7</c:v>
                </c:pt>
                <c:pt idx="51">
                  <c:v>-0.5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5-4152-B1D9-0CD7CA38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294047"/>
        <c:axId val="886295967"/>
      </c:lineChart>
      <c:catAx>
        <c:axId val="886294047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هفته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5967"/>
        <c:crosses val="autoZero"/>
        <c:auto val="1"/>
        <c:lblAlgn val="ctr"/>
        <c:lblOffset val="100"/>
        <c:noMultiLvlLbl val="0"/>
      </c:catAx>
      <c:valAx>
        <c:axId val="886295967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پرداختی</a:t>
                </a:r>
                <a:r>
                  <a:rPr lang="fa-IR" sz="10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 (میلیون تومان)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4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C4D4CB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E1D7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defRPr>
            </a:pPr>
            <a:r>
              <a:rPr lang="fa-IR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پیش‌بینی </a:t>
            </a:r>
            <a:r>
              <a:rPr lang="fa-IR">
                <a:solidFill>
                  <a:srgbClr val="B0C4B1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دریافت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و </a:t>
            </a:r>
            <a:r>
              <a:rPr lang="fa-IR" baseline="0">
                <a:solidFill>
                  <a:srgbClr val="EDAFB8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پرداخت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های هر هفته</a:t>
            </a:r>
            <a:endParaRPr lang="en-US">
              <a:solidFill>
                <a:srgbClr val="FF9999"/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endParaRPr>
          </a:p>
        </c:rich>
      </c:tx>
      <c:overlay val="0"/>
      <c:spPr>
        <a:solidFill>
          <a:srgbClr val="F7E1D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defRPr>
          </a:pPr>
          <a:endParaRPr lang="fa-I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Pay</c:v>
          </c:tx>
          <c:spPr>
            <a:pattFill prst="dkUpDiag">
              <a:fgClr>
                <a:srgbClr val="EDAFB8"/>
              </a:fgClr>
              <a:bgClr>
                <a:srgbClr val="F7E1D7"/>
              </a:bgClr>
            </a:patt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تراز!$AH$2:$AH$54</c:f>
              <c:numCache>
                <c:formatCode>General</c:formatCode>
                <c:ptCount val="53"/>
                <c:pt idx="0">
                  <c:v>0</c:v>
                </c:pt>
                <c:pt idx="1">
                  <c:v>-0.3</c:v>
                </c:pt>
                <c:pt idx="2">
                  <c:v>-0.3</c:v>
                </c:pt>
                <c:pt idx="3">
                  <c:v>-0.4</c:v>
                </c:pt>
                <c:pt idx="4">
                  <c:v>0</c:v>
                </c:pt>
                <c:pt idx="5">
                  <c:v>0</c:v>
                </c:pt>
                <c:pt idx="6">
                  <c:v>-5.0000000000000001E-3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-0.5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7-48CE-AD3A-C5D76F9F4C48}"/>
            </c:ext>
          </c:extLst>
        </c:ser>
        <c:ser>
          <c:idx val="4"/>
          <c:order val="1"/>
          <c:tx>
            <c:v>Receive</c:v>
          </c:tx>
          <c:spPr>
            <a:pattFill prst="dkUpDiag">
              <a:fgClr>
                <a:srgbClr val="B0C4B1"/>
              </a:fgClr>
              <a:bgClr>
                <a:srgbClr val="F7E1D7"/>
              </a:bgClr>
            </a:pattFill>
            <a:ln w="9525" cap="flat" cmpd="sng" algn="ctr">
              <a:noFill/>
              <a:round/>
            </a:ln>
            <a:effectLst/>
          </c:spPr>
          <c:invertIfNegative val="0"/>
          <c:dPt>
            <c:idx val="51"/>
            <c:invertIfNegative val="0"/>
            <c:bubble3D val="0"/>
            <c:spPr>
              <a:pattFill prst="dkUpDiag">
                <a:fgClr>
                  <a:srgbClr val="B0C4B1"/>
                </a:fgClr>
                <a:bgClr>
                  <a:srgbClr val="F7E1D7"/>
                </a:bgClr>
              </a:pattFill>
              <a:ln w="25400" cap="flat" cmpd="sng" algn="ctr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CE7-48CE-AD3A-C5D76F9F4C48}"/>
              </c:ext>
            </c:extLst>
          </c:dPt>
          <c:val>
            <c:numRef>
              <c:f>تراز!$AF$2:$AF$54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0.7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7-48CE-AD3A-C5D76F9F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294047"/>
        <c:axId val="886295967"/>
      </c:barChart>
      <c:lineChart>
        <c:grouping val="standard"/>
        <c:varyColors val="0"/>
        <c:ser>
          <c:idx val="5"/>
          <c:order val="2"/>
          <c:tx>
            <c:v>Balance</c:v>
          </c:tx>
          <c:spPr>
            <a:ln w="38100" cap="rnd">
              <a:solidFill>
                <a:srgbClr val="4A5759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تراز!$AJ$2:$AJ$54</c:f>
              <c:numCache>
                <c:formatCode>General</c:formatCode>
                <c:ptCount val="53"/>
                <c:pt idx="0">
                  <c:v>0</c:v>
                </c:pt>
                <c:pt idx="1">
                  <c:v>0.2</c:v>
                </c:pt>
                <c:pt idx="2">
                  <c:v>-0.3</c:v>
                </c:pt>
                <c:pt idx="3">
                  <c:v>-0.4</c:v>
                </c:pt>
                <c:pt idx="4">
                  <c:v>0</c:v>
                </c:pt>
                <c:pt idx="5">
                  <c:v>0</c:v>
                </c:pt>
                <c:pt idx="6">
                  <c:v>-5.0000000000000001E-3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0.7</c:v>
                </c:pt>
                <c:pt idx="51">
                  <c:v>-0.5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E7-48CE-AD3A-C5D76F9F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94047"/>
        <c:axId val="886295967"/>
      </c:lineChart>
      <c:catAx>
        <c:axId val="886294047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هفته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5967"/>
        <c:crosses val="autoZero"/>
        <c:auto val="1"/>
        <c:lblAlgn val="ctr"/>
        <c:lblOffset val="100"/>
        <c:noMultiLvlLbl val="0"/>
      </c:catAx>
      <c:valAx>
        <c:axId val="886295967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پرداختی</a:t>
                </a:r>
                <a:r>
                  <a:rPr lang="fa-IR" sz="10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 (میلیون تومان)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4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C4D4CB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E1D7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defRPr>
            </a:pPr>
            <a:r>
              <a:rPr lang="fa-IR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واقعیت </a:t>
            </a:r>
            <a:r>
              <a:rPr lang="fa-IR">
                <a:solidFill>
                  <a:srgbClr val="B0C4B1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دریافت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و </a:t>
            </a:r>
            <a:r>
              <a:rPr lang="fa-IR" baseline="0">
                <a:solidFill>
                  <a:srgbClr val="EDAFB8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پرداخت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های هر هفته</a:t>
            </a:r>
            <a:endParaRPr lang="en-US">
              <a:solidFill>
                <a:srgbClr val="FF9999"/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endParaRPr>
          </a:p>
        </c:rich>
      </c:tx>
      <c:overlay val="0"/>
      <c:spPr>
        <a:solidFill>
          <a:srgbClr val="F7E1D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defRPr>
          </a:pPr>
          <a:endParaRPr lang="fa-I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Pay</c:v>
          </c:tx>
          <c:spPr>
            <a:solidFill>
              <a:srgbClr val="EDAFB8">
                <a:alpha val="85000"/>
              </a:srgbClr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strRef>
              <c:f>تراز!$AD$2:$AD$54</c:f>
              <c:strCache>
                <c:ptCount val="5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01</c:v>
                </c:pt>
                <c:pt idx="42">
                  <c:v>02</c:v>
                </c:pt>
                <c:pt idx="43">
                  <c:v>03</c:v>
                </c:pt>
                <c:pt idx="44">
                  <c:v>04</c:v>
                </c:pt>
                <c:pt idx="45">
                  <c:v>05</c:v>
                </c:pt>
                <c:pt idx="46">
                  <c:v>06</c:v>
                </c:pt>
                <c:pt idx="47">
                  <c:v>07</c:v>
                </c:pt>
                <c:pt idx="48">
                  <c:v>08</c:v>
                </c:pt>
                <c:pt idx="49">
                  <c:v>09</c:v>
                </c:pt>
                <c:pt idx="50">
                  <c:v>10</c:v>
                </c:pt>
                <c:pt idx="51">
                  <c:v>11</c:v>
                </c:pt>
                <c:pt idx="52">
                  <c:v>12'</c:v>
                </c:pt>
              </c:strCache>
            </c:strRef>
          </c:cat>
          <c:val>
            <c:numRef>
              <c:f>تراز!$AG$2:$AG$54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-0.5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A-4213-B937-E4C966B9B8AE}"/>
            </c:ext>
          </c:extLst>
        </c:ser>
        <c:ser>
          <c:idx val="2"/>
          <c:order val="1"/>
          <c:tx>
            <c:v>Receive</c:v>
          </c:tx>
          <c:spPr>
            <a:solidFill>
              <a:srgbClr val="B0C4B1">
                <a:alpha val="85000"/>
              </a:srgbClr>
            </a:solid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تراز!$AE$2:$AE$54</c:f>
              <c:numCache>
                <c:formatCode>General</c:formatCode>
                <c:ptCount val="5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A-4213-B937-E4C966B9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294047"/>
        <c:axId val="886295967"/>
      </c:barChart>
      <c:lineChart>
        <c:grouping val="standard"/>
        <c:varyColors val="0"/>
        <c:ser>
          <c:idx val="3"/>
          <c:order val="2"/>
          <c:tx>
            <c:v>Balance</c:v>
          </c:tx>
          <c:spPr>
            <a:ln w="38100" cap="rnd">
              <a:solidFill>
                <a:srgbClr val="4A5759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تراز!$AK$2:$AK$54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0.495</c:v>
                </c:pt>
                <c:pt idx="7">
                  <c:v>0.495</c:v>
                </c:pt>
                <c:pt idx="8">
                  <c:v>0.495</c:v>
                </c:pt>
                <c:pt idx="9">
                  <c:v>0.495</c:v>
                </c:pt>
                <c:pt idx="10">
                  <c:v>0.495</c:v>
                </c:pt>
                <c:pt idx="11">
                  <c:v>0.495</c:v>
                </c:pt>
                <c:pt idx="12">
                  <c:v>0.495</c:v>
                </c:pt>
                <c:pt idx="13">
                  <c:v>0.495</c:v>
                </c:pt>
                <c:pt idx="14">
                  <c:v>0.495</c:v>
                </c:pt>
                <c:pt idx="15">
                  <c:v>0.495</c:v>
                </c:pt>
                <c:pt idx="16">
                  <c:v>0.495</c:v>
                </c:pt>
                <c:pt idx="17">
                  <c:v>0.495</c:v>
                </c:pt>
                <c:pt idx="18">
                  <c:v>0.495</c:v>
                </c:pt>
                <c:pt idx="19">
                  <c:v>0.495</c:v>
                </c:pt>
                <c:pt idx="20">
                  <c:v>0.495</c:v>
                </c:pt>
                <c:pt idx="21">
                  <c:v>0.495</c:v>
                </c:pt>
                <c:pt idx="22">
                  <c:v>0.495</c:v>
                </c:pt>
                <c:pt idx="23">
                  <c:v>0.495</c:v>
                </c:pt>
                <c:pt idx="24">
                  <c:v>0.495</c:v>
                </c:pt>
                <c:pt idx="25">
                  <c:v>0.495</c:v>
                </c:pt>
                <c:pt idx="26">
                  <c:v>0.495</c:v>
                </c:pt>
                <c:pt idx="27">
                  <c:v>0.495</c:v>
                </c:pt>
                <c:pt idx="28">
                  <c:v>0.495</c:v>
                </c:pt>
                <c:pt idx="29">
                  <c:v>0.495</c:v>
                </c:pt>
                <c:pt idx="30">
                  <c:v>0.495</c:v>
                </c:pt>
                <c:pt idx="31">
                  <c:v>0.495</c:v>
                </c:pt>
                <c:pt idx="32">
                  <c:v>0.495</c:v>
                </c:pt>
                <c:pt idx="33">
                  <c:v>0.495</c:v>
                </c:pt>
                <c:pt idx="34">
                  <c:v>0.495</c:v>
                </c:pt>
                <c:pt idx="35">
                  <c:v>0.495</c:v>
                </c:pt>
                <c:pt idx="36">
                  <c:v>0.495</c:v>
                </c:pt>
                <c:pt idx="37">
                  <c:v>0.495</c:v>
                </c:pt>
                <c:pt idx="38">
                  <c:v>0.495</c:v>
                </c:pt>
                <c:pt idx="39">
                  <c:v>0.495</c:v>
                </c:pt>
                <c:pt idx="40">
                  <c:v>0.495</c:v>
                </c:pt>
                <c:pt idx="41">
                  <c:v>0.495</c:v>
                </c:pt>
                <c:pt idx="42">
                  <c:v>0.495</c:v>
                </c:pt>
                <c:pt idx="43">
                  <c:v>0.495</c:v>
                </c:pt>
                <c:pt idx="44">
                  <c:v>0.495</c:v>
                </c:pt>
                <c:pt idx="45">
                  <c:v>0.495</c:v>
                </c:pt>
                <c:pt idx="46">
                  <c:v>0.495</c:v>
                </c:pt>
                <c:pt idx="47">
                  <c:v>0.495</c:v>
                </c:pt>
                <c:pt idx="48">
                  <c:v>0.495</c:v>
                </c:pt>
                <c:pt idx="49">
                  <c:v>0.495</c:v>
                </c:pt>
                <c:pt idx="50">
                  <c:v>0.495</c:v>
                </c:pt>
                <c:pt idx="51">
                  <c:v>0.495</c:v>
                </c:pt>
                <c:pt idx="52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3A-4213-B937-E4C966B9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94047"/>
        <c:axId val="886295967"/>
      </c:lineChart>
      <c:catAx>
        <c:axId val="886294047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هفته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5967"/>
        <c:crosses val="autoZero"/>
        <c:auto val="1"/>
        <c:lblAlgn val="ctr"/>
        <c:lblOffset val="100"/>
        <c:noMultiLvlLbl val="0"/>
      </c:catAx>
      <c:valAx>
        <c:axId val="886295967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پرداختی</a:t>
                </a:r>
                <a:r>
                  <a:rPr lang="fa-IR" sz="10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 (میلیون تومان)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4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C4D4CB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E1D7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defRPr>
            </a:pPr>
            <a:r>
              <a:rPr lang="fa-IR">
                <a:solidFill>
                  <a:schemeClr val="bg1">
                    <a:lumMod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مقایسه پیش بینی و واقعیت </a:t>
            </a:r>
            <a:r>
              <a:rPr lang="fa-IR">
                <a:solidFill>
                  <a:srgbClr val="B0C4B1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دریافت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و </a:t>
            </a:r>
            <a:r>
              <a:rPr lang="fa-IR" baseline="0">
                <a:solidFill>
                  <a:srgbClr val="EDAFB8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پرداخت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های هر هفته</a:t>
            </a:r>
            <a:endParaRPr lang="en-US">
              <a:solidFill>
                <a:srgbClr val="FF9999"/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endParaRPr>
          </a:p>
        </c:rich>
      </c:tx>
      <c:overlay val="0"/>
      <c:spPr>
        <a:solidFill>
          <a:srgbClr val="F7E1D7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defRPr>
          </a:pPr>
          <a:endParaRPr lang="fa-I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[R] Pay</c:v>
          </c:tx>
          <c:spPr>
            <a:solidFill>
              <a:srgbClr val="EDAFB8">
                <a:alpha val="85000"/>
              </a:srgbClr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strRef>
              <c:f>تراز!$AD$2:$AD$54</c:f>
              <c:strCache>
                <c:ptCount val="5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01</c:v>
                </c:pt>
                <c:pt idx="42">
                  <c:v>02</c:v>
                </c:pt>
                <c:pt idx="43">
                  <c:v>03</c:v>
                </c:pt>
                <c:pt idx="44">
                  <c:v>04</c:v>
                </c:pt>
                <c:pt idx="45">
                  <c:v>05</c:v>
                </c:pt>
                <c:pt idx="46">
                  <c:v>06</c:v>
                </c:pt>
                <c:pt idx="47">
                  <c:v>07</c:v>
                </c:pt>
                <c:pt idx="48">
                  <c:v>08</c:v>
                </c:pt>
                <c:pt idx="49">
                  <c:v>09</c:v>
                </c:pt>
                <c:pt idx="50">
                  <c:v>10</c:v>
                </c:pt>
                <c:pt idx="51">
                  <c:v>11</c:v>
                </c:pt>
                <c:pt idx="52">
                  <c:v>12'</c:v>
                </c:pt>
              </c:strCache>
            </c:strRef>
          </c:cat>
          <c:val>
            <c:numRef>
              <c:f>تراز!$AG$2:$AG$54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-0.5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1-4858-830E-B7D7731FF2F0}"/>
            </c:ext>
          </c:extLst>
        </c:ser>
        <c:ser>
          <c:idx val="2"/>
          <c:order val="1"/>
          <c:tx>
            <c:v>[R] Receive</c:v>
          </c:tx>
          <c:spPr>
            <a:solidFill>
              <a:srgbClr val="B0C4B1">
                <a:alpha val="85000"/>
              </a:srgbClr>
            </a:solid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تراز!$AE$2:$AE$54</c:f>
              <c:numCache>
                <c:formatCode>General</c:formatCode>
                <c:ptCount val="5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1-4858-830E-B7D7731FF2F0}"/>
            </c:ext>
          </c:extLst>
        </c:ser>
        <c:ser>
          <c:idx val="1"/>
          <c:order val="2"/>
          <c:tx>
            <c:v>[F] Pay</c:v>
          </c:tx>
          <c:spPr>
            <a:pattFill prst="dkUpDiag">
              <a:fgClr>
                <a:srgbClr val="EDAFB8"/>
              </a:fgClr>
              <a:bgClr>
                <a:srgbClr val="F7E1D7"/>
              </a:bgClr>
            </a:pattFill>
            <a:ln w="9525" cap="flat" cmpd="sng" algn="ctr">
              <a:noFill/>
              <a:round/>
            </a:ln>
            <a:effectLst/>
          </c:spPr>
          <c:invertIfNegative val="0"/>
          <c:val>
            <c:numRef>
              <c:f>تراز!$AH$2:$AH$54</c:f>
              <c:numCache>
                <c:formatCode>General</c:formatCode>
                <c:ptCount val="53"/>
                <c:pt idx="0">
                  <c:v>0</c:v>
                </c:pt>
                <c:pt idx="1">
                  <c:v>-0.3</c:v>
                </c:pt>
                <c:pt idx="2">
                  <c:v>-0.3</c:v>
                </c:pt>
                <c:pt idx="3">
                  <c:v>-0.4</c:v>
                </c:pt>
                <c:pt idx="4">
                  <c:v>0</c:v>
                </c:pt>
                <c:pt idx="5">
                  <c:v>0</c:v>
                </c:pt>
                <c:pt idx="6">
                  <c:v>-5.0000000000000001E-3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-0.5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1-4858-830E-B7D7731FF2F0}"/>
            </c:ext>
          </c:extLst>
        </c:ser>
        <c:ser>
          <c:idx val="4"/>
          <c:order val="3"/>
          <c:tx>
            <c:v>[F] Receive</c:v>
          </c:tx>
          <c:spPr>
            <a:pattFill prst="dkUpDiag">
              <a:fgClr>
                <a:srgbClr val="B0C4B1"/>
              </a:fgClr>
              <a:bgClr>
                <a:srgbClr val="F7E1D7"/>
              </a:bgClr>
            </a:pattFill>
            <a:ln w="9525" cap="flat" cmpd="sng" algn="ctr">
              <a:noFill/>
              <a:round/>
            </a:ln>
            <a:effectLst/>
          </c:spPr>
          <c:invertIfNegative val="0"/>
          <c:dPt>
            <c:idx val="51"/>
            <c:invertIfNegative val="0"/>
            <c:bubble3D val="0"/>
            <c:spPr>
              <a:pattFill prst="dkUpDiag">
                <a:fgClr>
                  <a:srgbClr val="B0C4B1"/>
                </a:fgClr>
                <a:bgClr>
                  <a:srgbClr val="F7E1D7"/>
                </a:bgClr>
              </a:pattFill>
              <a:ln w="25400" cap="flat" cmpd="sng" algn="ctr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21-4858-830E-B7D7731FF2F0}"/>
              </c:ext>
            </c:extLst>
          </c:dPt>
          <c:val>
            <c:numRef>
              <c:f>تراز!$AF$2:$AF$54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0.7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1-4858-830E-B7D7731F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294047"/>
        <c:axId val="886295967"/>
      </c:barChart>
      <c:catAx>
        <c:axId val="886294047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هفته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5967"/>
        <c:crosses val="autoZero"/>
        <c:auto val="1"/>
        <c:lblAlgn val="ctr"/>
        <c:lblOffset val="100"/>
        <c:noMultiLvlLbl val="0"/>
      </c:catAx>
      <c:valAx>
        <c:axId val="886295967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پرداختی</a:t>
                </a:r>
                <a:r>
                  <a:rPr lang="fa-IR" sz="10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 (میلیون تومان)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4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rgbClr val="C4D4CB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E1D7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552449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72A30-5EAD-4C6A-A973-ECCD9B9F8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552449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27B87-DF1B-473A-9065-A16529510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552449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60743-AE9C-43F8-AF73-277D31FC7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552449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CDE1C-6C8B-4E77-9854-BE3792A91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95617DD7-4CA0-494D-A1BD-398FCBC89F7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itle" tableColumnId="1"/>
      <queryTableField id="2" name="WeekNo" tableColumnId="2"/>
      <queryTableField id="3" name="Amount" tableColumnId="3"/>
      <queryTableField id="4" name="Amount(MT)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2351E1B-E6F2-4475-B01C-1B222BF450B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itle" tableColumnId="1"/>
      <queryTableField id="2" name="WeekNo" tableColumnId="2"/>
      <queryTableField id="3" name="Amount" tableColumnId="3"/>
      <queryTableField id="4" name="Amount(MT)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5F34D5C7-B23C-444A-A198-3BFE99D439AE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Title" tableColumnId="1"/>
      <queryTableField id="3" name="WeekNo" tableColumnId="3"/>
      <queryTableField id="4" name="Amount" tableColumnId="4"/>
      <queryTableField id="5" name="Amount(MT)" tableColumnId="5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8745F6C-5726-43F9-846B-1DF260212028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Title" tableColumnId="1"/>
      <queryTableField id="3" name="WeekNo" tableColumnId="3"/>
      <queryTableField id="4" name="Amount" tableColumnId="4"/>
      <queryTableField id="5" name="Amount(MT)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5" xr16:uid="{9487DF69-AC94-4D49-ACA4-97AFF853D8B2}" autoFormatId="16" applyNumberFormats="0" applyBorderFormats="0" applyFontFormats="0" applyPatternFormats="0" applyAlignmentFormats="0" applyWidthHeightFormats="0">
  <queryTableRefresh nextId="26" unboundColumnsRight="1">
    <queryTableFields count="9">
      <queryTableField id="9" name="WeekID" tableColumnId="1"/>
      <queryTableField id="10" name="WeekNo" tableColumnId="2"/>
      <queryTableField id="17" name="in" tableColumnId="3"/>
      <queryTableField id="21" name="inP" tableColumnId="5"/>
      <queryTableField id="18" name="out" tableColumnId="4"/>
      <queryTableField id="22" name="outP" tableColumnId="8"/>
      <queryTableField id="20" name=" Total" tableColumnId="6"/>
      <queryTableField id="23" name="TotalP" tableColumnId="9"/>
      <queryTableField id="16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B1B106E-8AC9-4C8B-BC3D-1BDB76593A92}" name="T_TabularPayP" displayName="T_TabularPayP" ref="A1:E6" tableType="queryTable" totalsRowShown="0" headerRowDxfId="604" dataDxfId="603">
  <autoFilter ref="A1:E6" xr:uid="{0B1B106E-8AC9-4C8B-BC3D-1BDB76593A92}"/>
  <tableColumns count="5">
    <tableColumn id="1" xr3:uid="{B01C3E11-3A38-4BBF-AE18-6FA782D58B24}" uniqueName="1" name="Title" queryTableFieldId="1" dataDxfId="602"/>
    <tableColumn id="2" xr3:uid="{310815DC-A72D-4524-A82C-96C345F09353}" uniqueName="2" name="WeekNo" queryTableFieldId="2" dataDxfId="601"/>
    <tableColumn id="3" xr3:uid="{BADBB136-C3B8-4557-9DCB-166240721DAB}" uniqueName="3" name="Amount" queryTableFieldId="3" dataDxfId="600"/>
    <tableColumn id="4" xr3:uid="{AA380FD3-A66A-44A3-9907-8C2343A0D80A}" uniqueName="4" name="Amount(MT)" queryTableFieldId="4" dataDxfId="599"/>
    <tableColumn id="5" xr3:uid="{2DCD500F-4E82-44DC-973B-705F405D242A}" uniqueName="5" name="WeekID" queryTableFieldId="5" dataDxfId="598">
      <calculatedColumnFormula>VLOOKUP(T_TabularPayP[[#This Row],[WeekNo]],T_Week[],2,0)</calculatedColumnFormula>
    </tableColumn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1ECE6F-8E36-4A76-B522-89993772A4E3}" name="T_Week" displayName="T_Week" ref="B3:C56" totalsRowShown="0" headerRowDxfId="349" dataDxfId="348">
  <autoFilter ref="B3:C56" xr:uid="{791ECE6F-8E36-4A76-B522-89993772A4E3}"/>
  <tableColumns count="2">
    <tableColumn id="5" xr3:uid="{D812B0D7-620E-4F90-8BFC-7574780990A0}" name="Week" dataDxfId="347" dataCellStyle="Comma"/>
    <tableColumn id="1" xr3:uid="{31EF0F03-EE28-4BC0-9488-CBDDD184B9AC}" name="ID" dataDxfId="346" dataCellStyle="Comma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80130E-81F1-49CD-8FC9-840CA5BE7B0E}" name="T_RecieveGroup" displayName="T_RecieveGroup" ref="E3:E5" totalsRowShown="0" headerRowDxfId="345" dataDxfId="344">
  <autoFilter ref="E3:E5" xr:uid="{4F80130E-81F1-49CD-8FC9-840CA5BE7B0E}"/>
  <tableColumns count="1">
    <tableColumn id="1" xr3:uid="{66160968-90E5-4A75-9CD7-8849B736320D}" name="Title" dataDxfId="343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8DE157-EC36-495B-8167-D615F6340D85}" name="T_PayGroup" displayName="T_PayGroup" ref="G3:G5" totalsRowShown="0" headerRowDxfId="342" dataDxfId="341">
  <autoFilter ref="G3:G5" xr:uid="{B98DE157-EC36-495B-8167-D615F6340D85}"/>
  <tableColumns count="1">
    <tableColumn id="1" xr3:uid="{29AAA002-B820-4E7D-9F8A-4F35E4D36FE0}" name="Title" dataDxfId="34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22BB38C-5EAD-4871-A0F7-1D98622D6DCB}" name="T_TabularReceiveP" displayName="T_TabularReceiveP" ref="A1:E3" tableType="queryTable" totalsRowShown="0" headerRowDxfId="597" dataDxfId="596">
  <autoFilter ref="A1:E3" xr:uid="{022BB38C-5EAD-4871-A0F7-1D98622D6DCB}"/>
  <tableColumns count="5">
    <tableColumn id="1" xr3:uid="{E8D0445E-36DD-4C3F-8FB4-B2687E326B18}" uniqueName="1" name="Title" queryTableFieldId="1" dataDxfId="595"/>
    <tableColumn id="2" xr3:uid="{D79F9076-45C4-4F4D-BF34-456F6684D638}" uniqueName="2" name="WeekNo" queryTableFieldId="2" dataDxfId="594"/>
    <tableColumn id="3" xr3:uid="{4E8EFFE9-55A6-4BF6-917A-F7561DC29BEF}" uniqueName="3" name="Amount" queryTableFieldId="3" dataDxfId="593"/>
    <tableColumn id="4" xr3:uid="{79D6AA02-EBC6-483A-9036-7889FE99B3FE}" uniqueName="4" name="Amount(MT)" queryTableFieldId="4" dataDxfId="592"/>
    <tableColumn id="5" xr3:uid="{8F47E294-2724-4F78-BACE-BD71B6615AB6}" uniqueName="5" name="WeekID" queryTableFieldId="5" dataDxfId="591">
      <calculatedColumnFormula>VLOOKUP(T_TabularReceiveP[[#This Row],[WeekNo]],T_Week[],2,0)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BA7661-AA0B-4937-A830-E7DCD1C74A42}" name="T_TabularPay" displayName="T_TabularPay" ref="A1:E3" tableType="queryTable" totalsRowShown="0" headerRowDxfId="590" dataDxfId="589">
  <autoFilter ref="A1:E3" xr:uid="{1DBA7661-AA0B-4937-A830-E7DCD1C74A42}"/>
  <tableColumns count="5">
    <tableColumn id="1" xr3:uid="{566CF63E-C136-43AB-B148-BA6C83397392}" uniqueName="1" name="Title" queryTableFieldId="1" dataDxfId="588"/>
    <tableColumn id="3" xr3:uid="{9AAF507D-62DD-4DFC-8C3A-5CA6EB119947}" uniqueName="3" name="WeekNo" queryTableFieldId="3" dataDxfId="587"/>
    <tableColumn id="4" xr3:uid="{ED4599E2-68D4-4AB7-84B3-81EDBBB8A030}" uniqueName="4" name="Amount" queryTableFieldId="4" dataDxfId="586" dataCellStyle="Comma"/>
    <tableColumn id="5" xr3:uid="{212CD5B3-EB92-472E-A4E1-276A303D62C6}" uniqueName="5" name="Amount(MT)" queryTableFieldId="5" dataDxfId="585" dataCellStyle="Comma"/>
    <tableColumn id="7" xr3:uid="{7C8C95FB-7041-494D-8D58-1F19E8C860AD}" uniqueName="7" name="WeekID" queryTableFieldId="7" dataDxfId="584">
      <calculatedColumnFormula>VLOOKUP(T_TabularPay[[#This Row],[WeekNo]],T_Week[],2,0)</calculatedColumnFormula>
    </tableColumn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2396FA-7207-4AB2-A76B-EB6657CCE17F}" name="T_TabularReceive" displayName="T_TabularReceive" ref="A1:E54" tableType="queryTable" totalsRowShown="0" headerRowDxfId="583" dataDxfId="582">
  <autoFilter ref="A1:E54" xr:uid="{DD2396FA-7207-4AB2-A76B-EB6657CCE17F}"/>
  <tableColumns count="5">
    <tableColumn id="1" xr3:uid="{9DB1C88C-CD77-4ED0-A07C-E2A68AEB06D1}" uniqueName="1" name="Title" queryTableFieldId="1" dataDxfId="581"/>
    <tableColumn id="3" xr3:uid="{A7A89875-7D8A-4ED2-90CB-0A4B66818A54}" uniqueName="3" name="WeekNo" queryTableFieldId="3" dataDxfId="580"/>
    <tableColumn id="4" xr3:uid="{26A0483B-FB05-4BF3-A7DC-F03BF973D24F}" uniqueName="4" name="Amount" queryTableFieldId="4" dataDxfId="579" dataCellStyle="Comma"/>
    <tableColumn id="5" xr3:uid="{A7D30287-FFBA-4B47-B42D-0D860FBEE6C3}" uniqueName="5" name="Amount(MT)" queryTableFieldId="5" dataDxfId="578" dataCellStyle="Comma"/>
    <tableColumn id="6" xr3:uid="{D844CB80-84D6-4E69-932C-BDE922625160}" uniqueName="6" name="WeekID" queryTableFieldId="6" dataDxfId="577">
      <calculatedColumnFormula>VLOOKUP(T_TabularReceive[[#This Row],[WeekNo]],T_Week[],2,0)</calculatedColumnFormula>
    </tableColumn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1B80CA-5978-490E-B8BD-A0229FA21E00}" name="T_Receive" displayName="T_Receive" ref="A3:BP5" totalsRowCount="1" headerRowDxfId="576" dataDxfId="575" totalsRowDxfId="574">
  <autoFilter ref="A3:BP4" xr:uid="{A0697075-3E5A-4E21-8512-460B2B4CECB5}"/>
  <tableColumns count="68">
    <tableColumn id="1" xr3:uid="{98DFC52E-621A-42A3-9A0D-F52AB59B2D79}" name="Title" totalsRowLabel="Grand Total" dataDxfId="339" totalsRowDxfId="67"/>
    <tableColumn id="2" xr3:uid="{778A8DDC-DB86-48A5-ACE6-90271CDC989D}" name="Group" dataDxfId="338" totalsRowDxfId="66"/>
    <tableColumn id="23" xr3:uid="{345BAB14-6429-4036-B0C8-713644622070}" name="Amount" totalsRowFunction="custom" dataDxfId="337" totalsRowDxfId="65">
      <calculatedColumnFormula>SUMIF(D$3:BP$3, "Summary*", D4:BP4)</calculatedColumnFormula>
      <totalsRowFormula>SUBTOTAL(109,T_Receive[Amount])/10000000</totalsRowFormula>
    </tableColumn>
    <tableColumn id="11" xr3:uid="{F0B2908A-2834-4326-AB32-0EC0AD131B30}" name="Summary 01" totalsRowFunction="sum" dataDxfId="336" totalsRowDxfId="64">
      <calculatedColumnFormula>SUM(T_Receive[[#This Row],[w12]:[w16]])</calculatedColumnFormula>
    </tableColumn>
    <tableColumn id="3" xr3:uid="{06A3F0DD-0D46-4702-8C7C-02DB3AAF2D8D}" name="w12" totalsRowFunction="sum" dataDxfId="335" totalsRowDxfId="63"/>
    <tableColumn id="5" xr3:uid="{F42A4CD3-E2B2-4021-B583-7B1D0D08D55E}" name="w13" totalsRowFunction="sum" dataDxfId="334" totalsRowDxfId="62"/>
    <tableColumn id="7" xr3:uid="{80996075-98A5-439F-9F4D-3EC6864E0838}" name="w14" totalsRowFunction="sum" dataDxfId="333" totalsRowDxfId="61"/>
    <tableColumn id="9" xr3:uid="{C91780E6-F630-4702-AE74-6D09CFF49DB5}" name="w15" totalsRowFunction="sum" dataDxfId="332" totalsRowDxfId="60"/>
    <tableColumn id="15" xr3:uid="{8CFEC083-4A73-4BC4-A101-B4B220051F54}" name="w16" totalsRowFunction="sum" dataDxfId="331" totalsRowDxfId="59"/>
    <tableColumn id="12" xr3:uid="{865B27A5-8177-4CDA-93CF-41187185CD4B}" name="Summary 02" totalsRowFunction="sum" dataDxfId="330" totalsRowDxfId="58">
      <calculatedColumnFormula>SUM(T_Receive[[#This Row],[w17]:[w20]])</calculatedColumnFormula>
    </tableColumn>
    <tableColumn id="13" xr3:uid="{4B3F9BF8-881D-40DF-980D-BE628B7FA40E}" name="w17" totalsRowFunction="sum" dataDxfId="329" totalsRowDxfId="57"/>
    <tableColumn id="17" xr3:uid="{B1C44FF3-F2C9-40A1-B690-BC71C5B310C1}" name="w18" totalsRowFunction="sum" dataDxfId="328" totalsRowDxfId="56"/>
    <tableColumn id="19" xr3:uid="{620DDF9F-DF47-4B33-8A73-5709B5AC3C02}" name="w19" totalsRowFunction="sum" dataDxfId="327" totalsRowDxfId="55"/>
    <tableColumn id="21" xr3:uid="{E797E00D-39AD-4A20-85E0-5A864FA5A0D4}" name="w20" totalsRowFunction="sum" dataDxfId="326" totalsRowDxfId="54"/>
    <tableColumn id="25" xr3:uid="{95D55A7F-8FFC-495F-8A1A-730DBA01B2F2}" name="Summary 03" totalsRowFunction="sum" dataDxfId="325" totalsRowDxfId="53">
      <calculatedColumnFormula>SUM(T_Receive[[#This Row],[w21]:[w25]])</calculatedColumnFormula>
    </tableColumn>
    <tableColumn id="26" xr3:uid="{65495308-E15C-48A2-B2BC-AD878A3C8BF9}" name="w21" totalsRowFunction="sum" dataDxfId="324" totalsRowDxfId="52"/>
    <tableColumn id="28" xr3:uid="{810CDCDC-03B8-464E-A6A4-8C31E90498CF}" name="w22" totalsRowFunction="sum" dataDxfId="323" totalsRowDxfId="51"/>
    <tableColumn id="30" xr3:uid="{34365C62-C602-40F2-9FA9-23DAFC0218AD}" name="w23" totalsRowFunction="sum" dataDxfId="322" totalsRowDxfId="50"/>
    <tableColumn id="32" xr3:uid="{C9A0BAF6-80C2-4607-B8F6-4D5CABB591D1}" name="w24" totalsRowFunction="sum" dataDxfId="321" totalsRowDxfId="49"/>
    <tableColumn id="34" xr3:uid="{33B7D4AC-45B9-4374-A996-448B92A8BBF9}" name="w25" totalsRowFunction="sum" dataDxfId="320" totalsRowDxfId="48"/>
    <tableColumn id="47" xr3:uid="{298E516D-29E9-4E29-93C5-D2457124BDF8}" name="Summary 04" totalsRowFunction="sum" dataDxfId="319" totalsRowDxfId="47">
      <calculatedColumnFormula>SUM(T_Receive[[#This Row],[w26]:[w29]])</calculatedColumnFormula>
    </tableColumn>
    <tableColumn id="48" xr3:uid="{5D1FB83E-8DF4-46E6-9D5A-C2260DB5DF61}" name="w26" totalsRowFunction="sum" dataDxfId="318" totalsRowDxfId="46"/>
    <tableColumn id="50" xr3:uid="{42F9805D-D425-4116-B943-6CE127AC8797}" name="w27" totalsRowFunction="sum" dataDxfId="317" totalsRowDxfId="45"/>
    <tableColumn id="52" xr3:uid="{48C1191C-851B-4DCA-8FD6-632504F10B45}" name="w28" totalsRowFunction="sum" dataDxfId="316" totalsRowDxfId="44"/>
    <tableColumn id="56" xr3:uid="{522CD12F-0AA7-44F1-BA63-74CDF83FC022}" name="w29" totalsRowFunction="sum" dataDxfId="315" totalsRowDxfId="43"/>
    <tableColumn id="58" xr3:uid="{00ADA6D6-D0FF-47D4-9640-EFF726AB5A12}" name="Summary 05" totalsRowFunction="sum" dataDxfId="314" totalsRowDxfId="42">
      <calculatedColumnFormula>SUM(T_Receive[[#This Row],[w30]:[w34]])</calculatedColumnFormula>
    </tableColumn>
    <tableColumn id="59" xr3:uid="{7622AA86-A21A-49CB-8A93-D400993235CD}" name="w30" totalsRowFunction="sum" dataDxfId="313" totalsRowDxfId="41"/>
    <tableColumn id="61" xr3:uid="{D2F600BE-0D31-47E7-A2B7-05229B22AEB9}" name="w31" totalsRowFunction="sum" dataDxfId="312" totalsRowDxfId="40"/>
    <tableColumn id="63" xr3:uid="{3942C588-E876-407C-9B9E-F532C463B773}" name="w32" totalsRowFunction="sum" dataDxfId="311" totalsRowDxfId="39"/>
    <tableColumn id="65" xr3:uid="{E2FFEF3A-B93F-4D80-BA57-DB99570161D3}" name="w33" totalsRowFunction="sum" dataDxfId="310" totalsRowDxfId="38"/>
    <tableColumn id="67" xr3:uid="{E94C0595-7D3B-4615-BB36-689504A5605C}" name="w34" totalsRowFunction="sum" dataDxfId="309" totalsRowDxfId="37"/>
    <tableColumn id="69" xr3:uid="{6A5D9E0A-11CF-4DE1-8279-9FCD93CF2737}" name="Summary 06" totalsRowFunction="sum" dataDxfId="308" totalsRowDxfId="36">
      <calculatedColumnFormula>SUM(T_Receive[[#This Row],[w35]:[w38]])</calculatedColumnFormula>
    </tableColumn>
    <tableColumn id="70" xr3:uid="{93B1FF71-1B55-4924-9CC5-4238AC55428C}" name="w35" totalsRowFunction="sum" dataDxfId="307" totalsRowDxfId="35"/>
    <tableColumn id="72" xr3:uid="{F82DE4CD-CBB2-4346-ACCF-D1FBD633724B}" name="w36" totalsRowFunction="sum" dataDxfId="306" totalsRowDxfId="34"/>
    <tableColumn id="76" xr3:uid="{3B1ADE1D-71F2-4513-92B5-AEDF662C57C6}" name="w37" totalsRowFunction="sum" dataDxfId="305" totalsRowDxfId="33"/>
    <tableColumn id="78" xr3:uid="{D8C10889-93CE-45E2-B966-B7D93D407F07}" name="w38" totalsRowFunction="sum" dataDxfId="304" totalsRowDxfId="32"/>
    <tableColumn id="80" xr3:uid="{68AC65FD-44BF-431B-A8AA-96E1864F1E51}" name="Summary 07" totalsRowFunction="sum" dataDxfId="303" totalsRowDxfId="31">
      <calculatedColumnFormula>SUM(T_Receive[[#This Row],[w39]:[w42]])</calculatedColumnFormula>
    </tableColumn>
    <tableColumn id="81" xr3:uid="{6E411DC2-BE39-4C2C-B0DE-E5ECE49FC1A1}" name="w39" totalsRowFunction="sum" dataDxfId="302" totalsRowDxfId="30"/>
    <tableColumn id="83" xr3:uid="{58F66D12-36E9-4C8D-B951-5151BC8CDF10}" name="w40" totalsRowFunction="sum" dataDxfId="301" totalsRowDxfId="29"/>
    <tableColumn id="85" xr3:uid="{D034A6F5-0489-4601-8E00-5AF5AA4FD2F8}" name="w41" totalsRowFunction="sum" dataDxfId="300" totalsRowDxfId="28"/>
    <tableColumn id="89" xr3:uid="{7E64C5C7-EDFB-4B9F-B744-20A5B94EF9E6}" name="w42" totalsRowFunction="sum" dataDxfId="299" totalsRowDxfId="27"/>
    <tableColumn id="91" xr3:uid="{3E7C0962-734E-4F09-B96A-8B5457386840}" name="Summary 08" totalsRowFunction="sum" dataDxfId="298" totalsRowDxfId="26">
      <calculatedColumnFormula>SUM(T_Receive[[#This Row],[w43]:[w47]])</calculatedColumnFormula>
    </tableColumn>
    <tableColumn id="92" xr3:uid="{C8812B65-7FFA-47E2-8061-27E6862A0064}" name="w43" totalsRowFunction="sum" dataDxfId="297" totalsRowDxfId="25"/>
    <tableColumn id="94" xr3:uid="{ACAE74E9-F535-4E5A-A5DD-0F3624DE7109}" name="w44" totalsRowFunction="sum" dataDxfId="296" totalsRowDxfId="24"/>
    <tableColumn id="96" xr3:uid="{6E839518-D1F7-4EA2-8196-76D46C047103}" name="w45" totalsRowFunction="sum" dataDxfId="295" totalsRowDxfId="23"/>
    <tableColumn id="98" xr3:uid="{92610A0C-0EDC-4113-986E-A58AB73810F4}" name="w46" totalsRowFunction="sum" dataDxfId="294" totalsRowDxfId="22"/>
    <tableColumn id="100" xr3:uid="{C3473F87-782F-49C0-B49C-8D83DF870F01}" name="w47" totalsRowFunction="sum" dataDxfId="293" totalsRowDxfId="21"/>
    <tableColumn id="102" xr3:uid="{02E0613E-A9E9-4D36-80A5-33D5400F194C}" name="Summary 09" totalsRowFunction="sum" dataDxfId="292" totalsRowDxfId="20">
      <calculatedColumnFormula>SUM(T_Receive[[#This Row],[w48]:[w51]])</calculatedColumnFormula>
    </tableColumn>
    <tableColumn id="103" xr3:uid="{B8019D22-2396-45D3-B625-51CAFB196372}" name="w48" totalsRowFunction="sum" dataDxfId="291" totalsRowDxfId="19"/>
    <tableColumn id="107" xr3:uid="{CCBFE305-243F-4C61-8290-C87B9CC9D1B4}" name="w49" totalsRowFunction="sum" dataDxfId="290" totalsRowDxfId="18"/>
    <tableColumn id="109" xr3:uid="{1CCF368A-888C-45E0-9891-9A29269971DD}" name="w50" totalsRowFunction="sum" dataDxfId="289" totalsRowDxfId="17"/>
    <tableColumn id="111" xr3:uid="{18980D02-E02F-4EAA-81C5-0103A0975071}" name="w51" totalsRowFunction="sum" dataDxfId="288" totalsRowDxfId="16"/>
    <tableColumn id="113" xr3:uid="{8BE2DFF3-BA3D-4723-AFC6-6C3C67F37868}" name="Summary 10" totalsRowFunction="sum" dataDxfId="287" totalsRowDxfId="15">
      <calculatedColumnFormula>SUM(T_Receive[[#This Row],[w52]:[w03]])</calculatedColumnFormula>
    </tableColumn>
    <tableColumn id="114" xr3:uid="{E4306EC8-385B-46EB-B0BE-D98361A5EB7B}" name="w52" totalsRowFunction="sum" dataDxfId="286" totalsRowDxfId="14"/>
    <tableColumn id="116" xr3:uid="{8EABD709-F1CC-49CD-9639-FD9893E43D47}" name="w01" totalsRowFunction="sum" dataDxfId="285" totalsRowDxfId="13"/>
    <tableColumn id="118" xr3:uid="{23A61F53-0428-4FE0-B6B4-B6D365B8A281}" name="w02" totalsRowFunction="sum" dataDxfId="284" totalsRowDxfId="12"/>
    <tableColumn id="122" xr3:uid="{88E1D85F-68EB-4147-8CE1-88D792B729F8}" name="w03" totalsRowFunction="sum" dataDxfId="283" totalsRowDxfId="11"/>
    <tableColumn id="124" xr3:uid="{A1141D76-DE09-4422-94D0-154A8D59E142}" name="Summary 11" totalsRowFunction="sum" dataDxfId="282" totalsRowDxfId="10">
      <calculatedColumnFormula>SUM(T_Receive[[#This Row],[w04]:[w07]])</calculatedColumnFormula>
    </tableColumn>
    <tableColumn id="125" xr3:uid="{9C2A6DAA-A502-4E40-8B1E-D543E6D8E023}" name="w04" totalsRowFunction="sum" dataDxfId="281" totalsRowDxfId="9"/>
    <tableColumn id="127" xr3:uid="{6A680E6F-2D65-48A9-86A6-58CF52FBAD3A}" name="w05" totalsRowFunction="sum" dataDxfId="280" totalsRowDxfId="8"/>
    <tableColumn id="129" xr3:uid="{B57E17E5-3F1F-49C0-BE2D-3A42348C0769}" name="w06" totalsRowFunction="sum" dataDxfId="279" totalsRowDxfId="7"/>
    <tableColumn id="133" xr3:uid="{030C530C-8745-480C-AC8E-E131F064C07C}" name="w07" totalsRowFunction="sum" dataDxfId="278" totalsRowDxfId="6"/>
    <tableColumn id="135" xr3:uid="{75A0236E-6142-4DC3-9A84-3539F45A18E8}" name="Summary 12" totalsRowFunction="sum" dataDxfId="277" totalsRowDxfId="5">
      <calculatedColumnFormula>SUM(T_Receive[[#This Row],[w08]:[w12'']])</calculatedColumnFormula>
    </tableColumn>
    <tableColumn id="136" xr3:uid="{65F82C73-D91A-4E30-AC2D-9B50201C8331}" name="w08" totalsRowFunction="sum" dataDxfId="276" totalsRowDxfId="4"/>
    <tableColumn id="138" xr3:uid="{6896589B-1E7E-4F93-9BF7-F05B2C78FE1A}" name="w09" totalsRowFunction="sum" dataDxfId="275" totalsRowDxfId="3"/>
    <tableColumn id="140" xr3:uid="{3494D7C8-95A7-455D-987E-25B0F851C530}" name="w10" totalsRowFunction="sum" dataDxfId="274" totalsRowDxfId="2"/>
    <tableColumn id="142" xr3:uid="{9045C9D9-480A-4102-BD82-DACC700E9D03}" name="w11" totalsRowFunction="sum" dataDxfId="273" totalsRowDxfId="1"/>
    <tableColumn id="144" xr3:uid="{26861892-30C2-48EF-80BF-9B6DE6B15960}" name="w12'" totalsRowFunction="sum" dataDxfId="272" totalsRowDxfId="0"/>
  </tableColumns>
  <tableStyleInfo name="Details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97075-3E5A-4E21-8512-460B2B4CECB5}" name="T_Pay" displayName="T_Pay" ref="A3:BP5" totalsRowCount="1" headerRowDxfId="573" dataDxfId="572" totalsRowDxfId="571">
  <autoFilter ref="A3:BP4" xr:uid="{A0697075-3E5A-4E21-8512-460B2B4CECB5}"/>
  <tableColumns count="68">
    <tableColumn id="1" xr3:uid="{3000368D-0F0E-4613-B8A6-EA02AD508717}" name="Title" totalsRowLabel="Grand Total" dataDxfId="570" totalsRowDxfId="135"/>
    <tableColumn id="2" xr3:uid="{12DE349F-8609-4F9F-8F42-1DF2E8684B05}" name="Group" dataDxfId="569" totalsRowDxfId="134"/>
    <tableColumn id="23" xr3:uid="{5639BA77-1E6A-4F3B-BCE1-90B7DF5C722B}" name="Amount" totalsRowFunction="custom" dataDxfId="568" totalsRowDxfId="133">
      <calculatedColumnFormula>SUMIF(D$3:BP$3, "Summary*", D4:BP4)</calculatedColumnFormula>
      <totalsRowFormula>SUBTOTAL(109,T_Pay[Amount])/10000000</totalsRowFormula>
    </tableColumn>
    <tableColumn id="11" xr3:uid="{E8841415-7D9F-4279-9F09-55B24B4DDA98}" name="Summary 01" totalsRowFunction="sum" dataDxfId="567" totalsRowDxfId="132">
      <calculatedColumnFormula>SUM(T_Pay[[#This Row],[w12]:[w16]])</calculatedColumnFormula>
    </tableColumn>
    <tableColumn id="3" xr3:uid="{129ED2E4-BB96-4F20-A797-E2207659E1E0}" name="w12" totalsRowFunction="sum" dataDxfId="566" totalsRowDxfId="131"/>
    <tableColumn id="5" xr3:uid="{FE0E4E6B-08F5-4B25-8C27-59F443864ABB}" name="w13" totalsRowFunction="sum" dataDxfId="565" totalsRowDxfId="130"/>
    <tableColumn id="7" xr3:uid="{4DB6373F-C84F-48DB-BBEB-49B7ECF9C785}" name="w14" totalsRowFunction="sum" dataDxfId="564" totalsRowDxfId="129"/>
    <tableColumn id="9" xr3:uid="{7F2C75A2-FD8D-4630-A44E-A47D5A2504F1}" name="w15" totalsRowFunction="sum" dataDxfId="563" totalsRowDxfId="128"/>
    <tableColumn id="15" xr3:uid="{B2BECDA2-984C-474A-9561-98536B29686C}" name="w16" totalsRowFunction="sum" dataDxfId="562" totalsRowDxfId="127"/>
    <tableColumn id="12" xr3:uid="{C8FB856C-33F4-459B-B3DA-E69B883DE2FE}" name="Summary 02" totalsRowFunction="sum" dataDxfId="561" totalsRowDxfId="126">
      <calculatedColumnFormula>SUM(T_Pay[[#This Row],[w17]:[w20]])</calculatedColumnFormula>
    </tableColumn>
    <tableColumn id="13" xr3:uid="{1E042F46-8AA8-46F6-B5E2-7DFF783DAB30}" name="w17" totalsRowFunction="sum" dataDxfId="560" totalsRowDxfId="125"/>
    <tableColumn id="17" xr3:uid="{34A2CE59-25CA-4114-A620-78639C024B1B}" name="w18" totalsRowFunction="sum" dataDxfId="559" totalsRowDxfId="124"/>
    <tableColumn id="19" xr3:uid="{8EA82E35-5A87-439C-B5C1-02EF8B52A394}" name="w19" totalsRowFunction="sum" dataDxfId="558" totalsRowDxfId="123"/>
    <tableColumn id="21" xr3:uid="{711C10D4-357C-44B9-816B-98F50B14DF49}" name="w20" totalsRowFunction="sum" dataDxfId="557" totalsRowDxfId="122"/>
    <tableColumn id="25" xr3:uid="{3F44FE2B-F833-4D0A-B853-42EFCD7B6FCC}" name="Summary 03" totalsRowFunction="sum" dataDxfId="556" totalsRowDxfId="121">
      <calculatedColumnFormula>SUM(T_Pay[[#This Row],[w21]:[w25]])</calculatedColumnFormula>
    </tableColumn>
    <tableColumn id="26" xr3:uid="{13FA8795-2E2E-413D-A15B-CC24AF4DB735}" name="w21" totalsRowFunction="sum" dataDxfId="555" totalsRowDxfId="120"/>
    <tableColumn id="28" xr3:uid="{D0FDC87F-6CB3-4A5F-8EEA-0D2BA980A8BE}" name="w22" totalsRowFunction="sum" dataDxfId="554" totalsRowDxfId="119"/>
    <tableColumn id="30" xr3:uid="{4FC6C3E1-215E-4364-8F37-8CD01D01E4EF}" name="w23" totalsRowFunction="sum" dataDxfId="553" totalsRowDxfId="118"/>
    <tableColumn id="32" xr3:uid="{20BAE62F-F244-4756-99BA-CFA92A21C13B}" name="w24" totalsRowFunction="sum" dataDxfId="552" totalsRowDxfId="117"/>
    <tableColumn id="34" xr3:uid="{69EE4E43-4A8E-48B5-BEED-12CEF281EAFA}" name="w25" totalsRowFunction="sum" dataDxfId="551" totalsRowDxfId="116"/>
    <tableColumn id="47" xr3:uid="{F11A80C1-C041-4583-B188-C4DF312135C7}" name="Summary 04" totalsRowFunction="sum" dataDxfId="550" totalsRowDxfId="115">
      <calculatedColumnFormula>SUM(T_Pay[[#This Row],[w26]:[w29]])</calculatedColumnFormula>
    </tableColumn>
    <tableColumn id="48" xr3:uid="{BDA74876-8441-4E31-9D83-16D72FD8640B}" name="w26" totalsRowFunction="sum" dataDxfId="549" totalsRowDxfId="114"/>
    <tableColumn id="50" xr3:uid="{A64ED3D6-C1FA-4687-A023-09564E16C12B}" name="w27" totalsRowFunction="sum" dataDxfId="548" totalsRowDxfId="113"/>
    <tableColumn id="52" xr3:uid="{BE4DE3AF-092D-4B40-88DB-11B735A567ED}" name="w28" totalsRowFunction="sum" dataDxfId="547" totalsRowDxfId="112"/>
    <tableColumn id="56" xr3:uid="{210E70C5-62D7-472F-8769-8DB7E4CD36AE}" name="w29" totalsRowFunction="sum" dataDxfId="546" totalsRowDxfId="111"/>
    <tableColumn id="58" xr3:uid="{7AA94D5A-F765-476E-9D32-C9DEF93F5B38}" name="Summary 05" totalsRowFunction="sum" dataDxfId="545" totalsRowDxfId="110">
      <calculatedColumnFormula>SUM(T_Pay[[#This Row],[w30]:[w34]])</calculatedColumnFormula>
    </tableColumn>
    <tableColumn id="59" xr3:uid="{B73CBB39-7079-4A02-9C13-59A0131D4C4D}" name="w30" totalsRowFunction="sum" dataDxfId="544" totalsRowDxfId="109"/>
    <tableColumn id="61" xr3:uid="{91D12A3A-B806-4CC8-82BB-80091596BDD4}" name="w31" totalsRowFunction="sum" dataDxfId="543" totalsRowDxfId="108"/>
    <tableColumn id="63" xr3:uid="{2A652ABE-4782-41DA-B00C-080D31A9D6CE}" name="w32" totalsRowFunction="sum" dataDxfId="542" totalsRowDxfId="107"/>
    <tableColumn id="65" xr3:uid="{82ECA086-36E5-4C7F-AF7F-381F126917D5}" name="w33" totalsRowFunction="sum" dataDxfId="541" totalsRowDxfId="106"/>
    <tableColumn id="67" xr3:uid="{D699EEAD-6E30-43BD-8121-E98D41FEE33B}" name="w34" totalsRowFunction="sum" dataDxfId="540" totalsRowDxfId="105"/>
    <tableColumn id="69" xr3:uid="{2E6027AA-6A70-425E-B6B7-A2C868E5700E}" name="Summary 06" totalsRowFunction="sum" dataDxfId="539" totalsRowDxfId="104">
      <calculatedColumnFormula>SUM(T_Pay[[#This Row],[w35]:[w38]])</calculatedColumnFormula>
    </tableColumn>
    <tableColumn id="70" xr3:uid="{201A6FEE-4FC3-46DF-B7A3-DD81D45AB116}" name="w35" totalsRowFunction="sum" dataDxfId="538" totalsRowDxfId="103"/>
    <tableColumn id="72" xr3:uid="{B04FB541-F3CF-419A-9E80-13A73F1B19C5}" name="w36" totalsRowFunction="sum" dataDxfId="537" totalsRowDxfId="102"/>
    <tableColumn id="76" xr3:uid="{7EF74FCE-A88E-4528-B64F-B8550B337AF3}" name="w37" totalsRowFunction="sum" dataDxfId="536" totalsRowDxfId="101"/>
    <tableColumn id="78" xr3:uid="{8C0CE6D3-DF69-43EB-B894-412C9FADB0D5}" name="w38" totalsRowFunction="sum" dataDxfId="535" totalsRowDxfId="100"/>
    <tableColumn id="80" xr3:uid="{31F38F18-C7FF-4DE1-8460-CC19E2501CAB}" name="Summary 07" totalsRowFunction="sum" dataDxfId="534" totalsRowDxfId="99">
      <calculatedColumnFormula>SUM(T_Pay[[#This Row],[w39]:[w42]])</calculatedColumnFormula>
    </tableColumn>
    <tableColumn id="81" xr3:uid="{4341A661-F93D-4B20-A39E-5A085F121B45}" name="w39" totalsRowFunction="sum" dataDxfId="533" totalsRowDxfId="98"/>
    <tableColumn id="83" xr3:uid="{8788F29A-6585-4010-A815-7165576D7866}" name="w40" totalsRowFunction="sum" dataDxfId="532" totalsRowDxfId="97"/>
    <tableColumn id="85" xr3:uid="{B959DA97-B017-420D-883F-3D3CB06263C0}" name="w41" totalsRowFunction="sum" dataDxfId="531" totalsRowDxfId="96"/>
    <tableColumn id="89" xr3:uid="{64AED692-B6F9-4B1B-8CA5-9A6B38F6360F}" name="w42" totalsRowFunction="sum" dataDxfId="530" totalsRowDxfId="95"/>
    <tableColumn id="91" xr3:uid="{1512A395-BBCE-4EF2-B242-0BFD6574EF80}" name="Summary 08" totalsRowFunction="sum" dataDxfId="529" totalsRowDxfId="94">
      <calculatedColumnFormula>SUM(T_Pay[[#This Row],[w43]:[w47]])</calculatedColumnFormula>
    </tableColumn>
    <tableColumn id="92" xr3:uid="{807A6F34-F7C2-471B-BF86-3770A9732567}" name="w43" totalsRowFunction="sum" dataDxfId="528" totalsRowDxfId="93"/>
    <tableColumn id="94" xr3:uid="{FCF0E86B-7B7E-4419-9A6B-E11FA6F5F327}" name="w44" totalsRowFunction="sum" dataDxfId="527" totalsRowDxfId="92"/>
    <tableColumn id="96" xr3:uid="{FF9D890B-075E-4CE6-80E8-E8340DB3F2BB}" name="w45" totalsRowFunction="sum" dataDxfId="526" totalsRowDxfId="91"/>
    <tableColumn id="98" xr3:uid="{0408A070-B5B9-45C8-AAFE-D4B95B8D285A}" name="w46" totalsRowFunction="sum" dataDxfId="525" totalsRowDxfId="90"/>
    <tableColumn id="100" xr3:uid="{B0FCD3B5-B7CB-46F2-9D54-CC0914C3B28F}" name="w47" totalsRowFunction="sum" dataDxfId="524" totalsRowDxfId="89"/>
    <tableColumn id="102" xr3:uid="{110134D7-6958-4964-9B52-A4AB6C8A69EF}" name="Summary 09" totalsRowFunction="sum" dataDxfId="523" totalsRowDxfId="88">
      <calculatedColumnFormula>SUM(T_Pay[[#This Row],[w48]:[w51]])</calculatedColumnFormula>
    </tableColumn>
    <tableColumn id="103" xr3:uid="{0763D27B-146C-4D93-8610-410F0DE66B2A}" name="w48" totalsRowFunction="sum" dataDxfId="522" totalsRowDxfId="87"/>
    <tableColumn id="107" xr3:uid="{796ABDD5-16ED-4245-AF45-E96A51D90E40}" name="w49" totalsRowFunction="sum" dataDxfId="521" totalsRowDxfId="86"/>
    <tableColumn id="109" xr3:uid="{0D6F7BDE-D21F-4D01-89E7-7A76A64BB754}" name="w50" totalsRowFunction="sum" dataDxfId="520" totalsRowDxfId="85"/>
    <tableColumn id="111" xr3:uid="{E293E0E8-D712-477C-8F81-AE792F74D730}" name="w51" totalsRowFunction="sum" dataDxfId="519" totalsRowDxfId="84"/>
    <tableColumn id="113" xr3:uid="{0B0A4AC5-F70D-4504-B3D3-8D7B58AC2287}" name="Summary 10" totalsRowFunction="sum" dataDxfId="518" totalsRowDxfId="83">
      <calculatedColumnFormula>SUM(T_Pay[[#This Row],[w52]:[w03]])</calculatedColumnFormula>
    </tableColumn>
    <tableColumn id="114" xr3:uid="{14644F4A-A183-44FA-A513-13A247A21BC8}" name="w52" totalsRowFunction="sum" dataDxfId="517" totalsRowDxfId="82"/>
    <tableColumn id="116" xr3:uid="{C4979769-959B-4F40-AF57-43E19354D1F7}" name="w01" totalsRowFunction="sum" dataDxfId="516" totalsRowDxfId="81"/>
    <tableColumn id="118" xr3:uid="{C1E1BD3D-8335-45E4-9B07-AE32CD3999B5}" name="w02" totalsRowFunction="sum" dataDxfId="515" totalsRowDxfId="80"/>
    <tableColumn id="122" xr3:uid="{4ACBD4F7-A32C-4F9A-BF65-268251C2B076}" name="w03" totalsRowFunction="sum" dataDxfId="514" totalsRowDxfId="79"/>
    <tableColumn id="124" xr3:uid="{F904D25F-96A2-4D87-90C1-0816852FC2AF}" name="Summary 11" totalsRowFunction="sum" dataDxfId="513" totalsRowDxfId="78">
      <calculatedColumnFormula>SUM(T_Pay[[#This Row],[w04]:[w07]])</calculatedColumnFormula>
    </tableColumn>
    <tableColumn id="125" xr3:uid="{31BD6963-1D6C-4BAD-B507-B577CE5BFB12}" name="w04" totalsRowFunction="sum" dataDxfId="512" totalsRowDxfId="77"/>
    <tableColumn id="127" xr3:uid="{8ADED3B4-7920-46DB-B3B1-0C1A5D9464D7}" name="w05" totalsRowFunction="sum" dataDxfId="511" totalsRowDxfId="76"/>
    <tableColumn id="129" xr3:uid="{9C49B971-9230-497D-B4A8-6A67FB2D6533}" name="w06" totalsRowFunction="sum" dataDxfId="510" totalsRowDxfId="75"/>
    <tableColumn id="133" xr3:uid="{9F167947-45C2-4164-BA5D-388AF2C6784A}" name="w07" totalsRowFunction="sum" dataDxfId="509" totalsRowDxfId="74"/>
    <tableColumn id="135" xr3:uid="{B88A26A0-60E6-4325-88C4-262DA8CBF5BB}" name="Summary 12" totalsRowFunction="sum" dataDxfId="508" totalsRowDxfId="73">
      <calculatedColumnFormula>SUM(T_Pay[[#This Row],[w08]:[w12'']])</calculatedColumnFormula>
    </tableColumn>
    <tableColumn id="136" xr3:uid="{4853DE14-A64D-462E-B0FF-9BB35F834415}" name="w08" totalsRowFunction="sum" dataDxfId="507" totalsRowDxfId="72"/>
    <tableColumn id="138" xr3:uid="{012178B3-6607-4B57-AE55-0E9053AD128A}" name="w09" totalsRowFunction="sum" dataDxfId="506" totalsRowDxfId="71"/>
    <tableColumn id="140" xr3:uid="{64E84D94-2600-4645-9FC6-6751DE4388EB}" name="w10" totalsRowFunction="sum" dataDxfId="505" totalsRowDxfId="70"/>
    <tableColumn id="142" xr3:uid="{58F007DB-87E0-46CA-A5B6-6E1BB4A52CA2}" name="w11" totalsRowFunction="sum" dataDxfId="504" totalsRowDxfId="69"/>
    <tableColumn id="144" xr3:uid="{7FE1847A-06BF-41D3-A437-3A214D1E93E4}" name="w12'" totalsRowFunction="sum" dataDxfId="503" totalsRowDxfId="68"/>
  </tableColumns>
  <tableStyleInfo name="Details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F078F8D-ACE8-4DD2-8AB1-B71A4B86EA2C}" name="T_ReceiveForecast" displayName="T_ReceiveForecast" ref="A3:BP5" totalsRowCount="1" headerRowDxfId="502" dataDxfId="501" totalsRowDxfId="500">
  <autoFilter ref="A3:BP4" xr:uid="{A0697075-3E5A-4E21-8512-460B2B4CECB5}"/>
  <tableColumns count="68">
    <tableColumn id="1" xr3:uid="{016C4DD4-04DE-4969-864E-9ABF863E5B43}" name="Title" totalsRowLabel="Grand Total" dataDxfId="499" totalsRowDxfId="203"/>
    <tableColumn id="2" xr3:uid="{91D9BED1-1066-418D-A7F2-374F5504D1E6}" name="Group" dataDxfId="498" totalsRowDxfId="202"/>
    <tableColumn id="23" xr3:uid="{115374AB-708C-43A1-9D65-58CA5D9E6DF0}" name="Amount" totalsRowFunction="custom" dataDxfId="497" totalsRowDxfId="201">
      <calculatedColumnFormula>SUMIF(D$3:BP$3, "Summary*", D4:BP4)</calculatedColumnFormula>
      <totalsRowFormula>SUBTOTAL(109,T_ReceiveForecast[Amount])/10000000</totalsRowFormula>
    </tableColumn>
    <tableColumn id="11" xr3:uid="{381643EB-07F3-47BB-958D-6E73195C10C2}" name="Summary 01" totalsRowFunction="sum" dataDxfId="496" totalsRowDxfId="200">
      <calculatedColumnFormula>SUM(T_ReceiveForecast[[#This Row],[w12]:[w16]])</calculatedColumnFormula>
    </tableColumn>
    <tableColumn id="3" xr3:uid="{BA9BF5C3-CF01-4479-84A3-CD9FB7254E01}" name="w12" totalsRowFunction="sum" dataDxfId="495" totalsRowDxfId="199"/>
    <tableColumn id="5" xr3:uid="{9158039A-F2B3-4465-83E6-E5B389E2B053}" name="w13" totalsRowFunction="sum" dataDxfId="494" totalsRowDxfId="198"/>
    <tableColumn id="7" xr3:uid="{C298317C-C05B-48A3-95ED-B08A3B5D5284}" name="w14" totalsRowFunction="sum" dataDxfId="493" totalsRowDxfId="197"/>
    <tableColumn id="9" xr3:uid="{939CF637-5F51-494F-A71D-9A34CF528960}" name="w15" totalsRowFunction="sum" dataDxfId="492" totalsRowDxfId="196"/>
    <tableColumn id="15" xr3:uid="{05C8292A-CC5C-4829-B83A-1A1B49D79D7B}" name="w16" totalsRowFunction="sum" dataDxfId="491" totalsRowDxfId="195"/>
    <tableColumn id="12" xr3:uid="{5870FD02-4804-4A79-967E-24E9C9CD5351}" name="Summary 02" totalsRowFunction="sum" dataDxfId="490" totalsRowDxfId="194">
      <calculatedColumnFormula>SUM(T_ReceiveForecast[[#This Row],[w17]:[w20]])</calculatedColumnFormula>
    </tableColumn>
    <tableColumn id="13" xr3:uid="{379BAAA9-EA2A-46A1-97AE-3ECE6EA83FED}" name="w17" totalsRowFunction="sum" dataDxfId="489" totalsRowDxfId="193"/>
    <tableColumn id="17" xr3:uid="{64D5B61F-C9BF-49BC-9464-164DA68EF5BA}" name="w18" totalsRowFunction="sum" dataDxfId="488" totalsRowDxfId="192"/>
    <tableColumn id="19" xr3:uid="{6123AC8E-F67B-4299-A449-B2808B96B4B1}" name="w19" totalsRowFunction="sum" dataDxfId="487" totalsRowDxfId="191"/>
    <tableColumn id="21" xr3:uid="{34581531-2290-4D75-857E-E31EF81146CF}" name="w20" totalsRowFunction="sum" dataDxfId="486" totalsRowDxfId="190"/>
    <tableColumn id="25" xr3:uid="{FEE7B8AC-EE2D-41D5-9CB2-9D36EB61DF5D}" name="Summary 03" totalsRowFunction="sum" dataDxfId="485" totalsRowDxfId="189">
      <calculatedColumnFormula>SUM(T_ReceiveForecast[[#This Row],[w21]:[w25]])</calculatedColumnFormula>
    </tableColumn>
    <tableColumn id="26" xr3:uid="{CAF10558-3558-42C7-AC6F-3782DB704F17}" name="w21" totalsRowFunction="sum" dataDxfId="484" totalsRowDxfId="188"/>
    <tableColumn id="28" xr3:uid="{4CCCBCC3-8E08-49B3-8004-5E0CBEAB679E}" name="w22" totalsRowFunction="sum" dataDxfId="483" totalsRowDxfId="187"/>
    <tableColumn id="30" xr3:uid="{F3DCFD4F-581C-418B-8855-7982661DD105}" name="w23" totalsRowFunction="sum" dataDxfId="482" totalsRowDxfId="186"/>
    <tableColumn id="32" xr3:uid="{736F7F13-D559-4712-AACF-AE20C8BFE7AA}" name="w24" totalsRowFunction="sum" dataDxfId="481" totalsRowDxfId="185"/>
    <tableColumn id="34" xr3:uid="{7FFACDD8-56E7-4749-8086-2A76EA581FA7}" name="w25" totalsRowFunction="sum" dataDxfId="480" totalsRowDxfId="184"/>
    <tableColumn id="47" xr3:uid="{9185415D-AB28-4AA5-B387-5D7F32F5BA20}" name="Summary 04" totalsRowFunction="sum" dataDxfId="479" totalsRowDxfId="183">
      <calculatedColumnFormula>SUM(T_ReceiveForecast[[#This Row],[w26]:[w29]])</calculatedColumnFormula>
    </tableColumn>
    <tableColumn id="48" xr3:uid="{D4034821-6C2E-44DE-A397-8E87D851C7EE}" name="w26" totalsRowFunction="sum" dataDxfId="478" totalsRowDxfId="182"/>
    <tableColumn id="50" xr3:uid="{282B97C5-522C-4A9B-BC09-8E484A76D5F3}" name="w27" totalsRowFunction="sum" dataDxfId="477" totalsRowDxfId="181"/>
    <tableColumn id="52" xr3:uid="{21CB8C11-DDA2-4C74-A13D-67ECE9776CE4}" name="w28" totalsRowFunction="sum" dataDxfId="476" totalsRowDxfId="180"/>
    <tableColumn id="56" xr3:uid="{6F5A518D-7CF8-46B8-8880-A8C1A3C33E27}" name="w29" totalsRowFunction="sum" dataDxfId="475" totalsRowDxfId="179"/>
    <tableColumn id="58" xr3:uid="{869234D8-E95C-4C13-9ACB-8BA90B169866}" name="Summary 05" totalsRowFunction="sum" dataDxfId="474" totalsRowDxfId="178">
      <calculatedColumnFormula>SUM(T_ReceiveForecast[[#This Row],[w30]:[w34]])</calculatedColumnFormula>
    </tableColumn>
    <tableColumn id="59" xr3:uid="{FCC72BA3-6ED1-4F1D-B3A0-1081BCE98D3F}" name="w30" totalsRowFunction="sum" dataDxfId="473" totalsRowDxfId="177"/>
    <tableColumn id="61" xr3:uid="{8A1182CF-A7C0-41F0-B228-8F14339B031E}" name="w31" totalsRowFunction="sum" dataDxfId="472" totalsRowDxfId="176"/>
    <tableColumn id="63" xr3:uid="{45E7FBAB-FFD6-42BE-B72F-9456B5FCEB52}" name="w32" totalsRowFunction="sum" dataDxfId="471" totalsRowDxfId="175"/>
    <tableColumn id="65" xr3:uid="{3E906F9E-0C08-42F0-97C4-DAE9B5D171EB}" name="w33" totalsRowFunction="sum" dataDxfId="470" totalsRowDxfId="174"/>
    <tableColumn id="67" xr3:uid="{1A73C3D8-82BB-4364-9FF2-AC16C2717F0F}" name="w34" totalsRowFunction="sum" dataDxfId="469" totalsRowDxfId="173"/>
    <tableColumn id="69" xr3:uid="{CD7ABDB2-BC63-4D93-AF3D-78F8764321C8}" name="Summary 06" totalsRowFunction="sum" dataDxfId="468" totalsRowDxfId="172">
      <calculatedColumnFormula>SUM(T_ReceiveForecast[[#This Row],[w35]:[w38]])</calculatedColumnFormula>
    </tableColumn>
    <tableColumn id="70" xr3:uid="{942D325E-3B73-420E-85A9-BFC3058848E9}" name="w35" totalsRowFunction="sum" dataDxfId="467" totalsRowDxfId="171"/>
    <tableColumn id="72" xr3:uid="{9594B1F6-BD51-463D-A694-411594EC6FF1}" name="w36" totalsRowFunction="sum" dataDxfId="466" totalsRowDxfId="170"/>
    <tableColumn id="76" xr3:uid="{C7F018ED-61DC-4A54-962E-75339EE18FB0}" name="w37" totalsRowFunction="sum" dataDxfId="465" totalsRowDxfId="169"/>
    <tableColumn id="78" xr3:uid="{DFCDC456-375F-48F7-A94F-AAD0B2483072}" name="w38" totalsRowFunction="sum" dataDxfId="464" totalsRowDxfId="168"/>
    <tableColumn id="80" xr3:uid="{7DE3204C-43B9-43E6-A461-C0218DB8780C}" name="Summary 07" totalsRowFunction="sum" dataDxfId="463" totalsRowDxfId="167">
      <calculatedColumnFormula>SUM(T_ReceiveForecast[[#This Row],[w39]:[w42]])</calculatedColumnFormula>
    </tableColumn>
    <tableColumn id="81" xr3:uid="{433FE1AF-D2B6-4F82-AD83-0F029DE010C5}" name="w39" totalsRowFunction="sum" dataDxfId="462" totalsRowDxfId="166"/>
    <tableColumn id="83" xr3:uid="{F75BC58F-3FFD-421F-8DF1-16CD9D4CBCDC}" name="w40" totalsRowFunction="sum" dataDxfId="461" totalsRowDxfId="165"/>
    <tableColumn id="85" xr3:uid="{36C6E3C5-5387-4EBF-B458-991C718D5332}" name="w41" totalsRowFunction="sum" dataDxfId="460" totalsRowDxfId="164"/>
    <tableColumn id="89" xr3:uid="{E4EB535B-35A8-4148-B3A3-73740909E21A}" name="w42" totalsRowFunction="sum" dataDxfId="459" totalsRowDxfId="163"/>
    <tableColumn id="91" xr3:uid="{1FAF7F0D-D3C3-4E31-A2AF-788BFF3369F7}" name="Summary 08" totalsRowFunction="sum" dataDxfId="458" totalsRowDxfId="162">
      <calculatedColumnFormula>SUM(T_ReceiveForecast[[#This Row],[w43]:[w47]])</calculatedColumnFormula>
    </tableColumn>
    <tableColumn id="92" xr3:uid="{ECCF9ACB-39B8-4637-9386-A97D4762B8FE}" name="w43" totalsRowFunction="sum" dataDxfId="457" totalsRowDxfId="161"/>
    <tableColumn id="94" xr3:uid="{5A5EAF82-D9F1-4B77-8A33-FD4728EDE696}" name="w44" totalsRowFunction="sum" dataDxfId="456" totalsRowDxfId="160"/>
    <tableColumn id="96" xr3:uid="{6C264DF8-D76F-4300-8D65-CF172B28E2B8}" name="w45" totalsRowFunction="sum" dataDxfId="455" totalsRowDxfId="159"/>
    <tableColumn id="98" xr3:uid="{FB5CD1AB-29C7-4211-B65D-BF51BAF41C9F}" name="w46" totalsRowFunction="sum" dataDxfId="454" totalsRowDxfId="158"/>
    <tableColumn id="100" xr3:uid="{39AA9A63-A8BA-4D1A-81CB-8041951C133A}" name="w47" totalsRowFunction="sum" dataDxfId="453" totalsRowDxfId="157"/>
    <tableColumn id="102" xr3:uid="{378C956B-9653-4078-9453-7A7C5F0F32A9}" name="Summary 09" totalsRowFunction="sum" dataDxfId="452" totalsRowDxfId="156">
      <calculatedColumnFormula>SUM(T_ReceiveForecast[[#This Row],[w48]:[w51]])</calculatedColumnFormula>
    </tableColumn>
    <tableColumn id="103" xr3:uid="{326F364A-7D35-44AA-A8D3-AE94F8172A09}" name="w48" totalsRowFunction="sum" dataDxfId="451" totalsRowDxfId="155"/>
    <tableColumn id="107" xr3:uid="{D6437E3F-A307-40CF-AD71-777C4F1BBC96}" name="w49" totalsRowFunction="sum" dataDxfId="450" totalsRowDxfId="154"/>
    <tableColumn id="109" xr3:uid="{D8A6444F-4BE9-44F3-9D95-65A421141C6A}" name="w50" totalsRowFunction="sum" dataDxfId="449" totalsRowDxfId="153"/>
    <tableColumn id="111" xr3:uid="{CC95CCEC-A2F5-4BE5-A2E3-3AED3F596A90}" name="w51" totalsRowFunction="sum" dataDxfId="448" totalsRowDxfId="152"/>
    <tableColumn id="113" xr3:uid="{94CA7EA3-A853-4874-BE73-848FB665B161}" name="Summary 10" totalsRowFunction="sum" dataDxfId="447" totalsRowDxfId="151">
      <calculatedColumnFormula>SUM(T_ReceiveForecast[[#This Row],[w52]:[w03]])</calculatedColumnFormula>
    </tableColumn>
    <tableColumn id="114" xr3:uid="{A14165CC-A815-4BF2-8342-5A781582FEE7}" name="w52" totalsRowFunction="sum" dataDxfId="446" totalsRowDxfId="150"/>
    <tableColumn id="116" xr3:uid="{B0D15B3B-0048-4FDC-934B-AA9DC7C39CD0}" name="w01" totalsRowFunction="sum" dataDxfId="445" totalsRowDxfId="149"/>
    <tableColumn id="118" xr3:uid="{2994A007-F5FE-4E22-BDEE-2EC6AD72E1F5}" name="w02" totalsRowFunction="sum" dataDxfId="444" totalsRowDxfId="148"/>
    <tableColumn id="122" xr3:uid="{9CC13E61-ACBC-49AD-89C9-6BDBCE58902E}" name="w03" totalsRowFunction="sum" dataDxfId="443" totalsRowDxfId="147"/>
    <tableColumn id="124" xr3:uid="{5ED5C2F6-D232-4CEB-817B-E7430609F16E}" name="Summary 11" totalsRowFunction="sum" dataDxfId="442" totalsRowDxfId="146">
      <calculatedColumnFormula>SUM(T_ReceiveForecast[[#This Row],[w04]:[w07]])</calculatedColumnFormula>
    </tableColumn>
    <tableColumn id="125" xr3:uid="{4CC64293-E03F-44A7-8D8F-7E40195B61C5}" name="w04" totalsRowFunction="sum" dataDxfId="441" totalsRowDxfId="145"/>
    <tableColumn id="127" xr3:uid="{9AB1EC4A-F27A-4C99-AD65-4C33B4DFDE04}" name="w05" totalsRowFunction="sum" dataDxfId="440" totalsRowDxfId="144"/>
    <tableColumn id="129" xr3:uid="{8C707E71-DA94-46BD-BCCE-0320F0569168}" name="w06" totalsRowFunction="sum" dataDxfId="439" totalsRowDxfId="143"/>
    <tableColumn id="133" xr3:uid="{5D5908C2-DA9D-476F-B40F-FBDB0670B6C9}" name="w07" totalsRowFunction="sum" dataDxfId="438" totalsRowDxfId="142"/>
    <tableColumn id="135" xr3:uid="{7FD03C04-9EC7-44C9-AEAD-5EACFE664C62}" name="Summary 12" totalsRowFunction="sum" dataDxfId="437" totalsRowDxfId="141">
      <calculatedColumnFormula>SUM(T_ReceiveForecast[[#This Row],[w08]:[w12'']])</calculatedColumnFormula>
    </tableColumn>
    <tableColumn id="136" xr3:uid="{132E0EB9-E358-422D-B5BD-95AD65A53FDF}" name="w08" totalsRowFunction="sum" dataDxfId="436" totalsRowDxfId="140"/>
    <tableColumn id="138" xr3:uid="{D79B280A-A1BD-4AB1-9AAB-D37C636F8B01}" name="w09" totalsRowFunction="sum" dataDxfId="435" totalsRowDxfId="139"/>
    <tableColumn id="140" xr3:uid="{A69653AD-F216-4572-8F69-BB2683637C70}" name="w10" totalsRowFunction="sum" dataDxfId="434" totalsRowDxfId="138"/>
    <tableColumn id="142" xr3:uid="{6940DAA3-4691-420D-9196-BEC61938DC0A}" name="w11" totalsRowFunction="sum" dataDxfId="433" totalsRowDxfId="137"/>
    <tableColumn id="144" xr3:uid="{7C01487F-488A-4A9D-BCCB-2051BB3835B2}" name="w12'" totalsRowFunction="sum" dataDxfId="432" totalsRowDxfId="136"/>
  </tableColumns>
  <tableStyleInfo name="Details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077C7D-6BC0-4447-976C-360F2D2B2A85}" name="T_PayForecast" displayName="T_PayForecast" ref="A3:BP5" totalsRowCount="1" headerRowDxfId="431" dataDxfId="430" totalsRowDxfId="429">
  <autoFilter ref="A3:BP4" xr:uid="{A0697075-3E5A-4E21-8512-460B2B4CECB5}"/>
  <tableColumns count="68">
    <tableColumn id="1" xr3:uid="{E710DAB7-1880-4DE0-857D-3A3244390AF6}" name="Title" totalsRowLabel="Grand Total" dataDxfId="428" totalsRowDxfId="271"/>
    <tableColumn id="2" xr3:uid="{76018A4E-874C-4FFD-BE92-FB48A08CD1F4}" name="Group" dataDxfId="427" totalsRowDxfId="270"/>
    <tableColumn id="23" xr3:uid="{3E1DA90B-2719-48D0-B33A-B09478A4759B}" name="Amount" totalsRowFunction="custom" dataDxfId="426" totalsRowDxfId="269">
      <calculatedColumnFormula>SUMIF(D$3:BP$3, "Summary*", D4:BP4)</calculatedColumnFormula>
      <totalsRowFormula>SUBTOTAL(109,T_PayForecast[Amount])/10000000</totalsRowFormula>
    </tableColumn>
    <tableColumn id="11" xr3:uid="{84F63EE9-2240-43CE-9F5A-B69D395ADD8C}" name="Summary 01" totalsRowFunction="sum" dataDxfId="425" totalsRowDxfId="268">
      <calculatedColumnFormula>SUM(T_PayForecast[[#This Row],[w12]:[w16]])</calculatedColumnFormula>
    </tableColumn>
    <tableColumn id="3" xr3:uid="{5C16F47D-E605-4031-8014-79ABF21AC0AD}" name="w12" totalsRowFunction="sum" dataDxfId="424" totalsRowDxfId="267"/>
    <tableColumn id="5" xr3:uid="{DE90241A-4E81-46BE-B3AB-95C24C89BE9B}" name="w13" totalsRowFunction="sum" dataDxfId="423" totalsRowDxfId="266"/>
    <tableColumn id="7" xr3:uid="{45D06A97-5C67-4798-B68F-250C251098DF}" name="w14" totalsRowFunction="sum" dataDxfId="422" totalsRowDxfId="265"/>
    <tableColumn id="9" xr3:uid="{71E424D0-A953-42FB-80B4-FE854AB81AEB}" name="w15" totalsRowFunction="sum" dataDxfId="421" totalsRowDxfId="264"/>
    <tableColumn id="15" xr3:uid="{D58EED18-BEDE-4A35-AD3B-99A7AEC40EEF}" name="w16" totalsRowFunction="sum" dataDxfId="420" totalsRowDxfId="263"/>
    <tableColumn id="12" xr3:uid="{716CB1D9-02F8-4EA6-AAC2-BE8B1ADF17A1}" name="Summary 02" totalsRowFunction="sum" dataDxfId="419" totalsRowDxfId="262">
      <calculatedColumnFormula>SUM(T_PayForecast[[#This Row],[w17]:[w20]])</calculatedColumnFormula>
    </tableColumn>
    <tableColumn id="13" xr3:uid="{9B90B2B9-4BF4-4FFD-9375-4DB806B28FD5}" name="w17" totalsRowFunction="sum" dataDxfId="418" totalsRowDxfId="261"/>
    <tableColumn id="17" xr3:uid="{CF2AA8D4-68EF-4E08-9797-B57FEDFFC39F}" name="w18" totalsRowFunction="sum" dataDxfId="417" totalsRowDxfId="260"/>
    <tableColumn id="19" xr3:uid="{B3A5CBB6-DEB1-424D-8644-7266FCDB7E2E}" name="w19" totalsRowFunction="sum" dataDxfId="416" totalsRowDxfId="259"/>
    <tableColumn id="21" xr3:uid="{72CCBFA8-A3F0-4397-AB50-91CD8859370D}" name="w20" totalsRowFunction="sum" dataDxfId="415" totalsRowDxfId="258"/>
    <tableColumn id="25" xr3:uid="{A20B61B1-2D53-401C-8C81-FB22B6B0BB75}" name="Summary 03" totalsRowFunction="sum" dataDxfId="414" totalsRowDxfId="257">
      <calculatedColumnFormula>SUM(T_PayForecast[[#This Row],[w21]:[w25]])</calculatedColumnFormula>
    </tableColumn>
    <tableColumn id="26" xr3:uid="{717A022D-08A1-483F-8CB6-F146D5572C6D}" name="w21" totalsRowFunction="sum" dataDxfId="413" totalsRowDxfId="256"/>
    <tableColumn id="28" xr3:uid="{DA415B85-7888-47E5-962D-CFA1EF176921}" name="w22" totalsRowFunction="sum" dataDxfId="412" totalsRowDxfId="255"/>
    <tableColumn id="30" xr3:uid="{A70D800E-DBC1-4F74-BC90-A9CABEBADFAA}" name="w23" totalsRowFunction="sum" dataDxfId="411" totalsRowDxfId="254"/>
    <tableColumn id="32" xr3:uid="{55FDE7B4-590D-45A2-8F1C-A609A319047D}" name="w24" totalsRowFunction="sum" dataDxfId="410" totalsRowDxfId="253"/>
    <tableColumn id="34" xr3:uid="{9A8B60B0-2C1F-4AA0-95EC-BB15192D64FD}" name="w25" totalsRowFunction="sum" dataDxfId="409" totalsRowDxfId="252"/>
    <tableColumn id="47" xr3:uid="{EF754940-CAE1-41E3-A7CD-9554DAD7FEB2}" name="Summary 04" totalsRowFunction="sum" dataDxfId="408" totalsRowDxfId="251">
      <calculatedColumnFormula>SUM(T_PayForecast[[#This Row],[w26]:[w29]])</calculatedColumnFormula>
    </tableColumn>
    <tableColumn id="48" xr3:uid="{0CCCAA5C-5937-49E0-A50B-077CB75A409D}" name="w26" totalsRowFunction="sum" dataDxfId="407" totalsRowDxfId="250"/>
    <tableColumn id="50" xr3:uid="{61F51DAB-CFFC-4A9B-B4D0-182A4DFA7B4C}" name="w27" totalsRowFunction="sum" dataDxfId="406" totalsRowDxfId="249"/>
    <tableColumn id="52" xr3:uid="{1718A005-869D-4101-A345-84F9C9286BF9}" name="w28" totalsRowFunction="sum" dataDxfId="405" totalsRowDxfId="248"/>
    <tableColumn id="56" xr3:uid="{3C07AD54-4478-4FEB-96AB-5543C10F246E}" name="w29" totalsRowFunction="sum" dataDxfId="404" totalsRowDxfId="247"/>
    <tableColumn id="58" xr3:uid="{86950D15-044C-4110-9B70-22D55C5A5472}" name="Summary 05" totalsRowFunction="sum" dataDxfId="403" totalsRowDxfId="246">
      <calculatedColumnFormula>SUM(T_PayForecast[[#This Row],[w30]:[w34]])</calculatedColumnFormula>
    </tableColumn>
    <tableColumn id="59" xr3:uid="{47BB5922-D478-4B6B-A4BB-0D1E557A96A0}" name="w30" totalsRowFunction="sum" dataDxfId="402" totalsRowDxfId="245"/>
    <tableColumn id="61" xr3:uid="{20A8AF1C-2DD0-46DB-BD96-842D3F2D44EC}" name="w31" totalsRowFunction="sum" dataDxfId="401" totalsRowDxfId="244"/>
    <tableColumn id="63" xr3:uid="{A2EBFA5C-C92D-40B6-A4EA-D97CCCBE0662}" name="w32" totalsRowFunction="sum" dataDxfId="400" totalsRowDxfId="243"/>
    <tableColumn id="65" xr3:uid="{414DC558-4CD7-4520-A006-316C6D85107F}" name="w33" totalsRowFunction="sum" dataDxfId="399" totalsRowDxfId="242"/>
    <tableColumn id="67" xr3:uid="{8C375224-4CC9-4AAF-A672-62F63A5BFC83}" name="w34" totalsRowFunction="sum" dataDxfId="398" totalsRowDxfId="241"/>
    <tableColumn id="69" xr3:uid="{FDAC4AEB-ADA7-4FAA-B8E2-059ECCF41619}" name="Summary 06" totalsRowFunction="sum" dataDxfId="397" totalsRowDxfId="240">
      <calculatedColumnFormula>SUM(T_PayForecast[[#This Row],[w35]:[w38]])</calculatedColumnFormula>
    </tableColumn>
    <tableColumn id="70" xr3:uid="{EA163AAF-0D5D-4076-84B9-5A5B368CAE3A}" name="w35" totalsRowFunction="sum" dataDxfId="396" totalsRowDxfId="239"/>
    <tableColumn id="72" xr3:uid="{49DC8E50-E4AA-4406-9657-3C2A30712C76}" name="w36" totalsRowFunction="sum" dataDxfId="395" totalsRowDxfId="238"/>
    <tableColumn id="76" xr3:uid="{0CF46E53-9E21-4D13-9248-74E17A4FEBD3}" name="w37" totalsRowFunction="sum" dataDxfId="394" totalsRowDxfId="237"/>
    <tableColumn id="78" xr3:uid="{0E5B57D3-3B39-44A1-B1E8-4F0B3DE424DA}" name="w38" totalsRowFunction="sum" dataDxfId="393" totalsRowDxfId="236"/>
    <tableColumn id="80" xr3:uid="{EE3D9C4B-FD1C-4CED-BC1E-FE06E7576C3A}" name="Summary 07" totalsRowFunction="sum" dataDxfId="392" totalsRowDxfId="235">
      <calculatedColumnFormula>SUM(T_PayForecast[[#This Row],[w39]:[w42]])</calculatedColumnFormula>
    </tableColumn>
    <tableColumn id="81" xr3:uid="{2BA6C2D9-96E2-48D4-BF79-311DF93D92E3}" name="w39" totalsRowFunction="sum" dataDxfId="391" totalsRowDxfId="234"/>
    <tableColumn id="83" xr3:uid="{BCFC8179-679A-4D90-B54C-F0DF46EF606B}" name="w40" totalsRowFunction="sum" dataDxfId="390" totalsRowDxfId="233"/>
    <tableColumn id="85" xr3:uid="{0038FE15-350D-458E-88EB-C9B40CB96168}" name="w41" totalsRowFunction="sum" dataDxfId="389" totalsRowDxfId="232"/>
    <tableColumn id="89" xr3:uid="{F6E71AEC-49D5-42EF-82F1-34B313C7355B}" name="w42" totalsRowFunction="sum" dataDxfId="388" totalsRowDxfId="231"/>
    <tableColumn id="91" xr3:uid="{A7A86255-1BC1-4E4B-B6CE-A2A3E2F6F7F8}" name="Summary 08" totalsRowFunction="sum" dataDxfId="387" totalsRowDxfId="230">
      <calculatedColumnFormula>SUM(T_PayForecast[[#This Row],[w43]:[w47]])</calculatedColumnFormula>
    </tableColumn>
    <tableColumn id="92" xr3:uid="{2AD69296-486E-4606-8F58-6E8D422CF3BC}" name="w43" totalsRowFunction="sum" dataDxfId="386" totalsRowDxfId="229"/>
    <tableColumn id="94" xr3:uid="{3013AC2E-FF0B-4667-8312-212AEE79B246}" name="w44" totalsRowFunction="sum" dataDxfId="385" totalsRowDxfId="228"/>
    <tableColumn id="96" xr3:uid="{31C1A694-F130-4972-9521-9E7576BA6775}" name="w45" totalsRowFunction="sum" dataDxfId="384" totalsRowDxfId="227"/>
    <tableColumn id="98" xr3:uid="{40BC78E4-AD18-423C-9E89-9930D944C079}" name="w46" totalsRowFunction="sum" dataDxfId="383" totalsRowDxfId="226"/>
    <tableColumn id="100" xr3:uid="{857E95A8-3DA1-46D9-9EAC-922CB7AAFA53}" name="w47" totalsRowFunction="sum" dataDxfId="382" totalsRowDxfId="225"/>
    <tableColumn id="102" xr3:uid="{005ED7B3-8994-4D3B-9E6A-55D319C46FB7}" name="Summary 09" totalsRowFunction="sum" dataDxfId="381" totalsRowDxfId="224">
      <calculatedColumnFormula>SUM(T_PayForecast[[#This Row],[w48]:[w51]])</calculatedColumnFormula>
    </tableColumn>
    <tableColumn id="103" xr3:uid="{65617B09-E573-4A12-9CEC-1D797AAF19F5}" name="w48" totalsRowFunction="sum" dataDxfId="380" totalsRowDxfId="223"/>
    <tableColumn id="107" xr3:uid="{06691E03-4DB3-442D-8FAD-495AB9C82991}" name="w49" totalsRowFunction="sum" dataDxfId="379" totalsRowDxfId="222"/>
    <tableColumn id="109" xr3:uid="{E0057790-78E9-4118-B3CE-CAC2B3B226F3}" name="w50" totalsRowFunction="sum" dataDxfId="378" totalsRowDxfId="221"/>
    <tableColumn id="111" xr3:uid="{079CF4C7-C91B-4770-9362-8AA9190AC4E4}" name="w51" totalsRowFunction="sum" dataDxfId="377" totalsRowDxfId="220"/>
    <tableColumn id="113" xr3:uid="{8756F5BE-E14B-4A91-B2FD-7A2E1F964B89}" name="Summary 10" totalsRowFunction="sum" dataDxfId="376" totalsRowDxfId="219">
      <calculatedColumnFormula>SUM(T_PayForecast[[#This Row],[w52]:[w03]])</calculatedColumnFormula>
    </tableColumn>
    <tableColumn id="114" xr3:uid="{3AB22035-1D17-47E3-942B-666BF02CD45F}" name="w52" totalsRowFunction="sum" dataDxfId="375" totalsRowDxfId="218"/>
    <tableColumn id="116" xr3:uid="{D5B25701-5DF8-4A80-8AF4-6650D909A669}" name="w01" totalsRowFunction="sum" dataDxfId="374" totalsRowDxfId="217"/>
    <tableColumn id="118" xr3:uid="{274B87D4-8941-4977-9F63-10E122B8EC2A}" name="w02" totalsRowFunction="sum" dataDxfId="373" totalsRowDxfId="216"/>
    <tableColumn id="122" xr3:uid="{5C6E6C37-4BD2-45E9-8629-60BCBC7AB2DE}" name="w03" totalsRowFunction="sum" dataDxfId="372" totalsRowDxfId="215"/>
    <tableColumn id="124" xr3:uid="{5B6AA098-A391-456B-B950-ACE86E34F4E2}" name="Summary 11" totalsRowFunction="sum" dataDxfId="371" totalsRowDxfId="214">
      <calculatedColumnFormula>SUM(T_PayForecast[[#This Row],[w04]:[w07]])</calculatedColumnFormula>
    </tableColumn>
    <tableColumn id="125" xr3:uid="{7C0F0F2E-B513-4AA9-BE32-34090F5D7886}" name="w04" totalsRowFunction="sum" dataDxfId="370" totalsRowDxfId="213"/>
    <tableColumn id="127" xr3:uid="{F2DF5556-40E4-45CB-801A-52EBE0DF821E}" name="w05" totalsRowFunction="sum" dataDxfId="369" totalsRowDxfId="212"/>
    <tableColumn id="129" xr3:uid="{9BAE35FA-034E-4FDA-AA1B-196F6BD7D7F1}" name="w06" totalsRowFunction="sum" dataDxfId="368" totalsRowDxfId="211"/>
    <tableColumn id="133" xr3:uid="{2BFD56F4-3972-484D-9206-05031BE09E0D}" name="w07" totalsRowFunction="sum" dataDxfId="367" totalsRowDxfId="210"/>
    <tableColumn id="135" xr3:uid="{04C1489B-A09A-44CC-AFAE-63A6002C7226}" name="Summary 12" totalsRowFunction="sum" dataDxfId="366" totalsRowDxfId="209">
      <calculatedColumnFormula>SUM(T_PayForecast[[#This Row],[w08]:[w12'']])</calculatedColumnFormula>
    </tableColumn>
    <tableColumn id="136" xr3:uid="{4CD8EAF9-C1D4-4E78-B21C-A0BC2546D65C}" name="w08" totalsRowFunction="sum" dataDxfId="365" totalsRowDxfId="208"/>
    <tableColumn id="138" xr3:uid="{472DDF8F-DE9A-4502-9688-B400F1476AB7}" name="w09" totalsRowFunction="sum" dataDxfId="364" totalsRowDxfId="207"/>
    <tableColumn id="140" xr3:uid="{BD1B5947-D2AA-4A12-ADB4-89456BA04947}" name="w10" totalsRowFunction="sum" dataDxfId="363" totalsRowDxfId="206"/>
    <tableColumn id="142" xr3:uid="{4C551727-B138-4A48-8FC6-BF554E487538}" name="w11" totalsRowFunction="sum" dataDxfId="362" totalsRowDxfId="205"/>
    <tableColumn id="144" xr3:uid="{D8753D84-0DCE-4DA6-9877-1C021E9BBDAB}" name="w12'" totalsRowFunction="sum" dataDxfId="361" totalsRowDxfId="204"/>
  </tableColumns>
  <tableStyleInfo name="Details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875406-37FD-466E-9D53-5D54B5FC8A36}" name="T_Chart" displayName="T_Chart" ref="AC1:AK54" tableType="queryTable" totalsRowShown="0" headerRowDxfId="360" dataDxfId="359">
  <autoFilter ref="AC1:AK54" xr:uid="{ED875406-37FD-466E-9D53-5D54B5FC8A3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96B775F-A342-4526-A6AB-C303433EB799}" uniqueName="1" name="WeekID" queryTableFieldId="9" dataDxfId="358"/>
    <tableColumn id="2" xr3:uid="{B896F72C-D8CD-4E28-9110-28972E3E659C}" uniqueName="2" name="WeekNo" queryTableFieldId="10" dataDxfId="357"/>
    <tableColumn id="3" xr3:uid="{86139F3E-6283-4BBD-A3D1-7A7F5CF73327}" uniqueName="3" name="in" queryTableFieldId="17" dataDxfId="356"/>
    <tableColumn id="5" xr3:uid="{9183E6A5-847D-44B8-9104-BE13DE511C82}" uniqueName="5" name="inP" queryTableFieldId="21" dataDxfId="355"/>
    <tableColumn id="4" xr3:uid="{14E1383D-99E0-4D9C-974C-F0E9BB0F7F09}" uniqueName="4" name="out" queryTableFieldId="18" dataDxfId="354"/>
    <tableColumn id="8" xr3:uid="{152F27F4-4974-44F0-B076-B9CDEC9D7919}" uniqueName="8" name="outP" queryTableFieldId="22" dataDxfId="353"/>
    <tableColumn id="6" xr3:uid="{2CE79082-2606-4131-8A12-E366F47F5308}" uniqueName="6" name=" Total" queryTableFieldId="20" dataDxfId="352"/>
    <tableColumn id="9" xr3:uid="{CD250FE4-5F85-4BA3-AA34-FABC78A81D1E}" uniqueName="9" name="TotalP" queryTableFieldId="23" dataDxfId="351"/>
    <tableColumn id="7" xr3:uid="{15C91B45-04A0-477C-A763-D95DF3823B3C}" uniqueName="7" name="0" queryTableFieldId="16" dataDxfId="350">
      <calculatedColumnFormula>AK1+T_Chart[[#This Row],[ Total]]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6D97-F3EF-4D92-92F3-0961AFF04242}">
  <dimension ref="A1:E6"/>
  <sheetViews>
    <sheetView rightToLeft="1" workbookViewId="0">
      <selection activeCell="E3" sqref="E3"/>
    </sheetView>
  </sheetViews>
  <sheetFormatPr defaultRowHeight="15.75" x14ac:dyDescent="0.4"/>
  <cols>
    <col min="1" max="1" width="7.875" style="32" bestFit="1" customWidth="1"/>
    <col min="2" max="3" width="8.875" style="32" bestFit="1" customWidth="1"/>
    <col min="4" max="4" width="12.125" style="32" bestFit="1" customWidth="1"/>
    <col min="5" max="5" width="8.875" style="32" bestFit="1" customWidth="1"/>
    <col min="6" max="16384" width="9" style="32"/>
  </cols>
  <sheetData>
    <row r="1" spans="1:5" x14ac:dyDescent="0.4">
      <c r="A1" s="33" t="s">
        <v>0</v>
      </c>
      <c r="B1" s="33" t="s">
        <v>81</v>
      </c>
      <c r="C1" s="33" t="s">
        <v>2</v>
      </c>
      <c r="D1" s="33" t="s">
        <v>91</v>
      </c>
      <c r="E1" s="33" t="s">
        <v>138</v>
      </c>
    </row>
    <row r="2" spans="1:5" x14ac:dyDescent="0.4">
      <c r="A2" s="32" t="s">
        <v>152</v>
      </c>
      <c r="B2" s="32" t="s">
        <v>87</v>
      </c>
      <c r="C2" s="32">
        <v>3000000</v>
      </c>
      <c r="D2" s="32">
        <v>0.3</v>
      </c>
      <c r="E2" s="32">
        <f>VLOOKUP(T_TabularPayP[[#This Row],[WeekNo]],T_Week[],2,0)</f>
        <v>2</v>
      </c>
    </row>
    <row r="3" spans="1:5" x14ac:dyDescent="0.4">
      <c r="A3" s="32" t="s">
        <v>152</v>
      </c>
      <c r="B3" s="32" t="s">
        <v>94</v>
      </c>
      <c r="C3" s="32">
        <v>3000000</v>
      </c>
      <c r="D3" s="32">
        <v>0.3</v>
      </c>
      <c r="E3" s="32">
        <f>VLOOKUP(T_TabularPayP[[#This Row],[WeekNo]],T_Week[],2,0)</f>
        <v>3</v>
      </c>
    </row>
    <row r="4" spans="1:5" x14ac:dyDescent="0.4">
      <c r="A4" s="32" t="s">
        <v>152</v>
      </c>
      <c r="B4" s="32" t="s">
        <v>82</v>
      </c>
      <c r="C4" s="32">
        <v>4000000</v>
      </c>
      <c r="D4" s="32">
        <v>0.4</v>
      </c>
      <c r="E4" s="32">
        <f>VLOOKUP(T_TabularPayP[[#This Row],[WeekNo]],T_Week[],2,0)</f>
        <v>4</v>
      </c>
    </row>
    <row r="5" spans="1:5" x14ac:dyDescent="0.4">
      <c r="A5" s="32" t="s">
        <v>152</v>
      </c>
      <c r="B5" s="32" t="s">
        <v>97</v>
      </c>
      <c r="C5" s="32">
        <v>50000</v>
      </c>
      <c r="D5" s="32">
        <v>5.0000000000000001E-3</v>
      </c>
      <c r="E5" s="32">
        <f>VLOOKUP(T_TabularPayP[[#This Row],[WeekNo]],T_Week[],2,0)</f>
        <v>7</v>
      </c>
    </row>
    <row r="6" spans="1:5" x14ac:dyDescent="0.4">
      <c r="A6" s="32" t="s">
        <v>152</v>
      </c>
      <c r="B6" s="32" t="s">
        <v>86</v>
      </c>
      <c r="C6" s="32">
        <v>5000000</v>
      </c>
      <c r="D6" s="32">
        <v>0.5</v>
      </c>
      <c r="E6" s="32">
        <f>VLOOKUP(T_TabularPayP[[#This Row],[WeekNo]],T_Week[],2,0)</f>
        <v>52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94C8-4061-4395-8DCB-6162A17CEB4F}">
  <sheetPr>
    <tabColor theme="0" tint="-0.34998626667073579"/>
  </sheetPr>
  <dimension ref="A1"/>
  <sheetViews>
    <sheetView showGridLines="0" rightToLeft="1" tabSelected="1" workbookViewId="0">
      <selection activeCell="B38" sqref="B38"/>
    </sheetView>
  </sheetViews>
  <sheetFormatPr defaultRowHeight="14.25" x14ac:dyDescent="0.2"/>
  <sheetData/>
  <pageMargins left="0.7" right="0.7" top="0.75" bottom="0.75" header="0.3" footer="0.3"/>
  <drawing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1144-7624-48F2-8FD6-527BCA4BE3EB}">
  <sheetPr>
    <tabColor theme="0" tint="-0.34998626667073579"/>
  </sheetPr>
  <dimension ref="A1"/>
  <sheetViews>
    <sheetView showGridLines="0" rightToLeft="1" workbookViewId="0"/>
  </sheetViews>
  <sheetFormatPr defaultRowHeight="14.25" x14ac:dyDescent="0.2"/>
  <sheetData/>
  <pageMargins left="0.7" right="0.7" top="0.75" bottom="0.75" header="0.3" footer="0.3"/>
  <drawing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6D4F-FD0F-437D-814C-9B58BB9544CD}">
  <sheetPr>
    <tabColor theme="0" tint="-0.34998626667073579"/>
  </sheetPr>
  <dimension ref="A1"/>
  <sheetViews>
    <sheetView showGridLines="0" rightToLeft="1" workbookViewId="0">
      <selection activeCell="G38" sqref="G38"/>
    </sheetView>
  </sheetViews>
  <sheetFormatPr defaultRowHeight="14.25" x14ac:dyDescent="0.2"/>
  <sheetData/>
  <pageMargins left="0.7" right="0.7" top="0.75" bottom="0.75" header="0.3" footer="0.3"/>
  <drawing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05C3-DB57-4263-B952-76ED155D5275}">
  <dimension ref="A1:H56"/>
  <sheetViews>
    <sheetView showGridLines="0" rightToLeft="1" workbookViewId="0">
      <selection activeCell="E6" sqref="E6"/>
    </sheetView>
  </sheetViews>
  <sheetFormatPr defaultRowHeight="18.75" x14ac:dyDescent="0.45"/>
  <cols>
    <col min="1" max="1" width="3.125" style="7" customWidth="1"/>
    <col min="2" max="2" width="7.375" style="7" customWidth="1"/>
    <col min="3" max="3" width="6.75" style="7" customWidth="1"/>
    <col min="4" max="4" width="3.125" style="7" customWidth="1"/>
    <col min="5" max="5" width="40.625" style="7" customWidth="1"/>
    <col min="6" max="6" width="3.125" style="7" customWidth="1"/>
    <col min="7" max="7" width="40.625" style="7" customWidth="1"/>
    <col min="8" max="8" width="3.125" style="7" customWidth="1"/>
    <col min="9" max="16384" width="9" style="7"/>
  </cols>
  <sheetData>
    <row r="1" spans="1:8" ht="64.5" customHeight="1" x14ac:dyDescent="1.5">
      <c r="A1" s="4" t="s">
        <v>3</v>
      </c>
      <c r="B1" s="13"/>
      <c r="C1" s="13"/>
    </row>
    <row r="2" spans="1:8" ht="27" x14ac:dyDescent="0.45">
      <c r="B2" s="64" t="s">
        <v>1</v>
      </c>
      <c r="C2" s="64"/>
      <c r="E2" s="39" t="s">
        <v>147</v>
      </c>
      <c r="G2" s="39" t="s">
        <v>146</v>
      </c>
    </row>
    <row r="3" spans="1:8" s="8" customFormat="1" x14ac:dyDescent="0.45">
      <c r="A3" s="14"/>
      <c r="B3" s="14" t="s">
        <v>1</v>
      </c>
      <c r="C3" s="14" t="s">
        <v>137</v>
      </c>
      <c r="D3" s="14"/>
      <c r="E3" s="14" t="s">
        <v>0</v>
      </c>
      <c r="F3" s="14"/>
      <c r="G3" s="14" t="s">
        <v>0</v>
      </c>
      <c r="H3" s="14"/>
    </row>
    <row r="4" spans="1:8" x14ac:dyDescent="0.45">
      <c r="B4" s="9" t="s">
        <v>93</v>
      </c>
      <c r="C4" s="10">
        <v>1</v>
      </c>
      <c r="E4" s="7" t="s">
        <v>148</v>
      </c>
      <c r="G4" s="7" t="s">
        <v>150</v>
      </c>
    </row>
    <row r="5" spans="1:8" x14ac:dyDescent="0.45">
      <c r="B5" s="9" t="s">
        <v>87</v>
      </c>
      <c r="C5" s="10">
        <v>2</v>
      </c>
      <c r="E5" s="7" t="s">
        <v>149</v>
      </c>
      <c r="G5" s="7" t="s">
        <v>151</v>
      </c>
    </row>
    <row r="6" spans="1:8" x14ac:dyDescent="0.45">
      <c r="B6" s="9" t="s">
        <v>94</v>
      </c>
      <c r="C6" s="10">
        <v>3</v>
      </c>
    </row>
    <row r="7" spans="1:8" x14ac:dyDescent="0.45">
      <c r="B7" s="9" t="s">
        <v>82</v>
      </c>
      <c r="C7" s="10">
        <v>4</v>
      </c>
    </row>
    <row r="8" spans="1:8" x14ac:dyDescent="0.45">
      <c r="B8" s="11" t="s">
        <v>95</v>
      </c>
      <c r="C8" s="12">
        <v>5</v>
      </c>
    </row>
    <row r="9" spans="1:8" x14ac:dyDescent="0.45">
      <c r="B9" s="11" t="s">
        <v>96</v>
      </c>
      <c r="C9" s="12">
        <v>6</v>
      </c>
    </row>
    <row r="10" spans="1:8" x14ac:dyDescent="0.45">
      <c r="B10" s="11" t="s">
        <v>97</v>
      </c>
      <c r="C10" s="10">
        <v>7</v>
      </c>
    </row>
    <row r="11" spans="1:8" x14ac:dyDescent="0.45">
      <c r="B11" s="11" t="s">
        <v>98</v>
      </c>
      <c r="C11" s="10">
        <v>8</v>
      </c>
    </row>
    <row r="12" spans="1:8" x14ac:dyDescent="0.45">
      <c r="B12" s="11" t="s">
        <v>85</v>
      </c>
      <c r="C12" s="10">
        <v>9</v>
      </c>
    </row>
    <row r="13" spans="1:8" x14ac:dyDescent="0.45">
      <c r="B13" s="11" t="s">
        <v>99</v>
      </c>
      <c r="C13" s="10">
        <v>10</v>
      </c>
    </row>
    <row r="14" spans="1:8" x14ac:dyDescent="0.45">
      <c r="B14" s="11" t="s">
        <v>84</v>
      </c>
      <c r="C14" s="12">
        <v>11</v>
      </c>
    </row>
    <row r="15" spans="1:8" x14ac:dyDescent="0.45">
      <c r="B15" s="11" t="s">
        <v>100</v>
      </c>
      <c r="C15" s="12">
        <v>12</v>
      </c>
    </row>
    <row r="16" spans="1:8" x14ac:dyDescent="0.45">
      <c r="B16" s="11" t="s">
        <v>101</v>
      </c>
      <c r="C16" s="10">
        <v>13</v>
      </c>
    </row>
    <row r="17" spans="2:3" x14ac:dyDescent="0.45">
      <c r="B17" s="11" t="s">
        <v>102</v>
      </c>
      <c r="C17" s="10">
        <v>14</v>
      </c>
    </row>
    <row r="18" spans="2:3" x14ac:dyDescent="0.45">
      <c r="B18" s="11" t="s">
        <v>103</v>
      </c>
      <c r="C18" s="10">
        <v>15</v>
      </c>
    </row>
    <row r="19" spans="2:3" x14ac:dyDescent="0.45">
      <c r="B19" s="11" t="s">
        <v>104</v>
      </c>
      <c r="C19" s="10">
        <v>16</v>
      </c>
    </row>
    <row r="20" spans="2:3" x14ac:dyDescent="0.45">
      <c r="B20" s="11" t="s">
        <v>105</v>
      </c>
      <c r="C20" s="12">
        <v>17</v>
      </c>
    </row>
    <row r="21" spans="2:3" x14ac:dyDescent="0.45">
      <c r="B21" s="11" t="s">
        <v>106</v>
      </c>
      <c r="C21" s="12">
        <v>18</v>
      </c>
    </row>
    <row r="22" spans="2:3" x14ac:dyDescent="0.45">
      <c r="B22" s="11" t="s">
        <v>107</v>
      </c>
      <c r="C22" s="10">
        <v>19</v>
      </c>
    </row>
    <row r="23" spans="2:3" x14ac:dyDescent="0.45">
      <c r="B23" s="11" t="s">
        <v>83</v>
      </c>
      <c r="C23" s="10">
        <v>20</v>
      </c>
    </row>
    <row r="24" spans="2:3" x14ac:dyDescent="0.45">
      <c r="B24" s="11" t="s">
        <v>108</v>
      </c>
      <c r="C24" s="10">
        <v>21</v>
      </c>
    </row>
    <row r="25" spans="2:3" x14ac:dyDescent="0.45">
      <c r="B25" s="11" t="s">
        <v>109</v>
      </c>
      <c r="C25" s="10">
        <v>22</v>
      </c>
    </row>
    <row r="26" spans="2:3" x14ac:dyDescent="0.45">
      <c r="B26" s="11" t="s">
        <v>110</v>
      </c>
      <c r="C26" s="12">
        <v>23</v>
      </c>
    </row>
    <row r="27" spans="2:3" x14ac:dyDescent="0.45">
      <c r="B27" s="11" t="s">
        <v>111</v>
      </c>
      <c r="C27" s="12">
        <v>24</v>
      </c>
    </row>
    <row r="28" spans="2:3" x14ac:dyDescent="0.45">
      <c r="B28" s="11" t="s">
        <v>89</v>
      </c>
      <c r="C28" s="10">
        <v>25</v>
      </c>
    </row>
    <row r="29" spans="2:3" x14ac:dyDescent="0.45">
      <c r="B29" s="11" t="s">
        <v>112</v>
      </c>
      <c r="C29" s="10">
        <v>26</v>
      </c>
    </row>
    <row r="30" spans="2:3" x14ac:dyDescent="0.45">
      <c r="B30" s="11" t="s">
        <v>113</v>
      </c>
      <c r="C30" s="10">
        <v>27</v>
      </c>
    </row>
    <row r="31" spans="2:3" x14ac:dyDescent="0.45">
      <c r="B31" s="11" t="s">
        <v>114</v>
      </c>
      <c r="C31" s="10">
        <v>28</v>
      </c>
    </row>
    <row r="32" spans="2:3" x14ac:dyDescent="0.45">
      <c r="B32" s="11" t="s">
        <v>115</v>
      </c>
      <c r="C32" s="12">
        <v>29</v>
      </c>
    </row>
    <row r="33" spans="2:3" x14ac:dyDescent="0.45">
      <c r="B33" s="11" t="s">
        <v>90</v>
      </c>
      <c r="C33" s="12">
        <v>30</v>
      </c>
    </row>
    <row r="34" spans="2:3" x14ac:dyDescent="0.45">
      <c r="B34" s="11" t="s">
        <v>116</v>
      </c>
      <c r="C34" s="10">
        <v>31</v>
      </c>
    </row>
    <row r="35" spans="2:3" x14ac:dyDescent="0.45">
      <c r="B35" s="11" t="s">
        <v>117</v>
      </c>
      <c r="C35" s="10">
        <v>32</v>
      </c>
    </row>
    <row r="36" spans="2:3" x14ac:dyDescent="0.45">
      <c r="B36" s="11" t="s">
        <v>118</v>
      </c>
      <c r="C36" s="10">
        <v>33</v>
      </c>
    </row>
    <row r="37" spans="2:3" x14ac:dyDescent="0.45">
      <c r="B37" s="11" t="s">
        <v>119</v>
      </c>
      <c r="C37" s="10">
        <v>34</v>
      </c>
    </row>
    <row r="38" spans="2:3" x14ac:dyDescent="0.45">
      <c r="B38" s="11" t="s">
        <v>120</v>
      </c>
      <c r="C38" s="12">
        <v>35</v>
      </c>
    </row>
    <row r="39" spans="2:3" x14ac:dyDescent="0.45">
      <c r="B39" s="11" t="s">
        <v>121</v>
      </c>
      <c r="C39" s="12">
        <v>36</v>
      </c>
    </row>
    <row r="40" spans="2:3" x14ac:dyDescent="0.45">
      <c r="B40" s="11" t="s">
        <v>122</v>
      </c>
      <c r="C40" s="10">
        <v>37</v>
      </c>
    </row>
    <row r="41" spans="2:3" x14ac:dyDescent="0.45">
      <c r="B41" s="11" t="s">
        <v>123</v>
      </c>
      <c r="C41" s="10">
        <v>38</v>
      </c>
    </row>
    <row r="42" spans="2:3" x14ac:dyDescent="0.45">
      <c r="B42" s="11" t="s">
        <v>92</v>
      </c>
      <c r="C42" s="10">
        <v>39</v>
      </c>
    </row>
    <row r="43" spans="2:3" x14ac:dyDescent="0.45">
      <c r="B43" s="11" t="s">
        <v>124</v>
      </c>
      <c r="C43" s="10">
        <v>40</v>
      </c>
    </row>
    <row r="44" spans="2:3" x14ac:dyDescent="0.45">
      <c r="B44" s="11" t="s">
        <v>125</v>
      </c>
      <c r="C44" s="12">
        <v>41</v>
      </c>
    </row>
    <row r="45" spans="2:3" x14ac:dyDescent="0.45">
      <c r="B45" s="11" t="s">
        <v>126</v>
      </c>
      <c r="C45" s="12">
        <v>42</v>
      </c>
    </row>
    <row r="46" spans="2:3" x14ac:dyDescent="0.45">
      <c r="B46" s="11" t="s">
        <v>127</v>
      </c>
      <c r="C46" s="10">
        <v>43</v>
      </c>
    </row>
    <row r="47" spans="2:3" x14ac:dyDescent="0.45">
      <c r="B47" s="11" t="s">
        <v>128</v>
      </c>
      <c r="C47" s="10">
        <v>44</v>
      </c>
    </row>
    <row r="48" spans="2:3" x14ac:dyDescent="0.45">
      <c r="B48" s="11" t="s">
        <v>129</v>
      </c>
      <c r="C48" s="10">
        <v>45</v>
      </c>
    </row>
    <row r="49" spans="2:3" x14ac:dyDescent="0.45">
      <c r="B49" s="11" t="s">
        <v>130</v>
      </c>
      <c r="C49" s="10">
        <v>46</v>
      </c>
    </row>
    <row r="50" spans="2:3" x14ac:dyDescent="0.45">
      <c r="B50" s="11" t="s">
        <v>131</v>
      </c>
      <c r="C50" s="12">
        <v>47</v>
      </c>
    </row>
    <row r="51" spans="2:3" x14ac:dyDescent="0.45">
      <c r="B51" s="11" t="s">
        <v>132</v>
      </c>
      <c r="C51" s="12">
        <v>48</v>
      </c>
    </row>
    <row r="52" spans="2:3" x14ac:dyDescent="0.45">
      <c r="B52" s="11" t="s">
        <v>133</v>
      </c>
      <c r="C52" s="10">
        <v>49</v>
      </c>
    </row>
    <row r="53" spans="2:3" x14ac:dyDescent="0.45">
      <c r="B53" s="11" t="s">
        <v>134</v>
      </c>
      <c r="C53" s="10">
        <v>50</v>
      </c>
    </row>
    <row r="54" spans="2:3" x14ac:dyDescent="0.45">
      <c r="B54" s="11" t="s">
        <v>135</v>
      </c>
      <c r="C54" s="10">
        <v>51</v>
      </c>
    </row>
    <row r="55" spans="2:3" x14ac:dyDescent="0.45">
      <c r="B55" s="11" t="s">
        <v>86</v>
      </c>
      <c r="C55" s="10">
        <v>52</v>
      </c>
    </row>
    <row r="56" spans="2:3" x14ac:dyDescent="0.45">
      <c r="B56" s="11" t="s">
        <v>136</v>
      </c>
      <c r="C56" s="10">
        <v>53</v>
      </c>
    </row>
  </sheetData>
  <mergeCells count="1">
    <mergeCell ref="B2:C2"/>
  </mergeCells>
  <pageMargins left="0.7" right="0.7" top="0.75" bottom="0.75" header="0.3" footer="0.3"/>
  <ignoredErrors>
    <ignoredError sqref="B4:B56" numberStoredAsText="1"/>
  </ignoredErrors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8E5E-D906-46B2-916D-826E668E2B95}">
  <dimension ref="A1:E3"/>
  <sheetViews>
    <sheetView rightToLeft="1" workbookViewId="0">
      <selection activeCell="E3" sqref="E3"/>
    </sheetView>
  </sheetViews>
  <sheetFormatPr defaultRowHeight="15.75" x14ac:dyDescent="0.4"/>
  <cols>
    <col min="1" max="1" width="7.875" style="32" bestFit="1" customWidth="1"/>
    <col min="2" max="3" width="8.875" style="32" bestFit="1" customWidth="1"/>
    <col min="4" max="4" width="12.125" style="32" bestFit="1" customWidth="1"/>
    <col min="5" max="5" width="8.875" style="32" bestFit="1" customWidth="1"/>
    <col min="6" max="16384" width="9" style="32"/>
  </cols>
  <sheetData>
    <row r="1" spans="1:5" s="31" customFormat="1" x14ac:dyDescent="0.4">
      <c r="A1" s="30" t="s">
        <v>0</v>
      </c>
      <c r="B1" s="30" t="s">
        <v>81</v>
      </c>
      <c r="C1" s="30" t="s">
        <v>2</v>
      </c>
      <c r="D1" s="30" t="s">
        <v>91</v>
      </c>
      <c r="E1" s="30" t="s">
        <v>138</v>
      </c>
    </row>
    <row r="2" spans="1:5" x14ac:dyDescent="0.4">
      <c r="A2" s="32" t="s">
        <v>156</v>
      </c>
      <c r="B2" s="32" t="s">
        <v>87</v>
      </c>
      <c r="C2" s="32">
        <v>5000000</v>
      </c>
      <c r="D2" s="32">
        <v>0.5</v>
      </c>
      <c r="E2" s="32">
        <f>VLOOKUP(T_TabularReceiveP[[#This Row],[WeekNo]],T_Week[],2,0)</f>
        <v>2</v>
      </c>
    </row>
    <row r="3" spans="1:5" x14ac:dyDescent="0.4">
      <c r="A3" s="32" t="s">
        <v>156</v>
      </c>
      <c r="B3" s="32" t="s">
        <v>135</v>
      </c>
      <c r="C3" s="32">
        <v>7000000</v>
      </c>
      <c r="D3" s="32">
        <v>0.7</v>
      </c>
      <c r="E3" s="32">
        <f>VLOOKUP(T_TabularReceiveP[[#This Row],[WeekNo]],T_Week[],2,0)</f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0B33-7A92-46C2-9AC0-7A3A0477F3CF}">
  <dimension ref="A1:F54"/>
  <sheetViews>
    <sheetView rightToLeft="1" workbookViewId="0">
      <selection activeCell="E3" sqref="E3"/>
    </sheetView>
  </sheetViews>
  <sheetFormatPr defaultRowHeight="15.75" x14ac:dyDescent="0.4"/>
  <cols>
    <col min="1" max="1" width="7.875" style="32" bestFit="1" customWidth="1"/>
    <col min="2" max="2" width="8.875" style="32" bestFit="1" customWidth="1"/>
    <col min="3" max="3" width="11.125" style="32" bestFit="1" customWidth="1"/>
    <col min="4" max="4" width="12.125" style="35" bestFit="1" customWidth="1"/>
    <col min="5" max="5" width="8.875" style="35" bestFit="1" customWidth="1"/>
    <col min="6" max="6" width="6.625" style="36" bestFit="1" customWidth="1"/>
    <col min="7" max="7" width="9" style="32" bestFit="1" customWidth="1"/>
    <col min="8" max="16384" width="9" style="32"/>
  </cols>
  <sheetData>
    <row r="1" spans="1:6" x14ac:dyDescent="0.4">
      <c r="A1" s="34" t="s">
        <v>0</v>
      </c>
      <c r="B1" s="34" t="s">
        <v>81</v>
      </c>
      <c r="C1" s="34" t="s">
        <v>2</v>
      </c>
      <c r="D1" s="34" t="s">
        <v>91</v>
      </c>
      <c r="E1" s="34" t="s">
        <v>138</v>
      </c>
      <c r="F1" s="32"/>
    </row>
    <row r="2" spans="1:6" x14ac:dyDescent="0.4">
      <c r="A2" s="32" t="s">
        <v>152</v>
      </c>
      <c r="B2" s="32" t="s">
        <v>94</v>
      </c>
      <c r="C2" s="35">
        <v>5000000</v>
      </c>
      <c r="D2" s="35">
        <v>0.5</v>
      </c>
      <c r="E2" s="32">
        <f>VLOOKUP(T_TabularPay[[#This Row],[WeekNo]],T_Week[],2,0)</f>
        <v>3</v>
      </c>
      <c r="F2" s="32"/>
    </row>
    <row r="3" spans="1:6" x14ac:dyDescent="0.4">
      <c r="A3" s="32" t="s">
        <v>152</v>
      </c>
      <c r="B3" s="32" t="s">
        <v>97</v>
      </c>
      <c r="C3" s="35">
        <v>50000</v>
      </c>
      <c r="D3" s="35">
        <v>5.0000000000000001E-3</v>
      </c>
      <c r="E3" s="32">
        <f>VLOOKUP(T_TabularPay[[#This Row],[WeekNo]],T_Week[],2,0)</f>
        <v>7</v>
      </c>
      <c r="F3" s="32"/>
    </row>
    <row r="4" spans="1:6" x14ac:dyDescent="0.4">
      <c r="F4" s="32"/>
    </row>
    <row r="5" spans="1:6" x14ac:dyDescent="0.4">
      <c r="F5" s="32"/>
    </row>
    <row r="6" spans="1:6" x14ac:dyDescent="0.4">
      <c r="F6" s="32"/>
    </row>
    <row r="7" spans="1:6" x14ac:dyDescent="0.4">
      <c r="F7" s="32"/>
    </row>
    <row r="8" spans="1:6" x14ac:dyDescent="0.4">
      <c r="F8" s="32"/>
    </row>
    <row r="9" spans="1:6" x14ac:dyDescent="0.4">
      <c r="F9" s="32"/>
    </row>
    <row r="10" spans="1:6" x14ac:dyDescent="0.4">
      <c r="F10" s="32"/>
    </row>
    <row r="11" spans="1:6" x14ac:dyDescent="0.4">
      <c r="F11" s="32"/>
    </row>
    <row r="12" spans="1:6" x14ac:dyDescent="0.4">
      <c r="F12" s="32"/>
    </row>
    <row r="13" spans="1:6" x14ac:dyDescent="0.4">
      <c r="F13" s="32"/>
    </row>
    <row r="14" spans="1:6" x14ac:dyDescent="0.4">
      <c r="F14" s="32"/>
    </row>
    <row r="15" spans="1:6" x14ac:dyDescent="0.4">
      <c r="F15" s="32"/>
    </row>
    <row r="16" spans="1:6" x14ac:dyDescent="0.4">
      <c r="F16" s="32"/>
    </row>
    <row r="17" spans="6:6" x14ac:dyDescent="0.4">
      <c r="F17" s="32"/>
    </row>
    <row r="18" spans="6:6" x14ac:dyDescent="0.4">
      <c r="F18" s="32"/>
    </row>
    <row r="19" spans="6:6" x14ac:dyDescent="0.4">
      <c r="F19" s="32"/>
    </row>
    <row r="20" spans="6:6" x14ac:dyDescent="0.4">
      <c r="F20" s="32"/>
    </row>
    <row r="21" spans="6:6" x14ac:dyDescent="0.4">
      <c r="F21" s="32"/>
    </row>
    <row r="22" spans="6:6" x14ac:dyDescent="0.4">
      <c r="F22" s="32"/>
    </row>
    <row r="23" spans="6:6" x14ac:dyDescent="0.4">
      <c r="F23" s="32"/>
    </row>
    <row r="24" spans="6:6" x14ac:dyDescent="0.4">
      <c r="F24" s="32"/>
    </row>
    <row r="25" spans="6:6" x14ac:dyDescent="0.4">
      <c r="F25" s="32"/>
    </row>
    <row r="26" spans="6:6" x14ac:dyDescent="0.4">
      <c r="F26" s="32"/>
    </row>
    <row r="27" spans="6:6" x14ac:dyDescent="0.4">
      <c r="F27" s="32"/>
    </row>
    <row r="28" spans="6:6" x14ac:dyDescent="0.4">
      <c r="F28" s="32"/>
    </row>
    <row r="29" spans="6:6" x14ac:dyDescent="0.4">
      <c r="F29" s="32"/>
    </row>
    <row r="30" spans="6:6" x14ac:dyDescent="0.4">
      <c r="F30" s="32"/>
    </row>
    <row r="31" spans="6:6" x14ac:dyDescent="0.4">
      <c r="F31" s="32"/>
    </row>
    <row r="32" spans="6:6" x14ac:dyDescent="0.4">
      <c r="F32" s="32"/>
    </row>
    <row r="33" spans="6:6" x14ac:dyDescent="0.4">
      <c r="F33" s="32"/>
    </row>
    <row r="34" spans="6:6" x14ac:dyDescent="0.4">
      <c r="F34" s="32"/>
    </row>
    <row r="35" spans="6:6" x14ac:dyDescent="0.4">
      <c r="F35" s="32"/>
    </row>
    <row r="36" spans="6:6" x14ac:dyDescent="0.4">
      <c r="F36" s="32"/>
    </row>
    <row r="37" spans="6:6" x14ac:dyDescent="0.4">
      <c r="F37" s="32"/>
    </row>
    <row r="38" spans="6:6" x14ac:dyDescent="0.4">
      <c r="F38" s="32"/>
    </row>
    <row r="39" spans="6:6" x14ac:dyDescent="0.4">
      <c r="F39" s="32"/>
    </row>
    <row r="40" spans="6:6" x14ac:dyDescent="0.4">
      <c r="F40" s="32"/>
    </row>
    <row r="41" spans="6:6" x14ac:dyDescent="0.4">
      <c r="F41" s="32"/>
    </row>
    <row r="42" spans="6:6" x14ac:dyDescent="0.4">
      <c r="F42" s="32"/>
    </row>
    <row r="43" spans="6:6" x14ac:dyDescent="0.4">
      <c r="F43" s="32"/>
    </row>
    <row r="44" spans="6:6" x14ac:dyDescent="0.4">
      <c r="F44" s="32"/>
    </row>
    <row r="45" spans="6:6" x14ac:dyDescent="0.4">
      <c r="F45" s="32"/>
    </row>
    <row r="46" spans="6:6" x14ac:dyDescent="0.4">
      <c r="F46" s="32"/>
    </row>
    <row r="47" spans="6:6" x14ac:dyDescent="0.4">
      <c r="F47" s="32"/>
    </row>
    <row r="48" spans="6:6" x14ac:dyDescent="0.4">
      <c r="F48" s="32"/>
    </row>
    <row r="49" spans="6:6" x14ac:dyDescent="0.4">
      <c r="F49" s="32"/>
    </row>
    <row r="50" spans="6:6" x14ac:dyDescent="0.4">
      <c r="F50" s="32"/>
    </row>
    <row r="51" spans="6:6" x14ac:dyDescent="0.4">
      <c r="F51" s="32"/>
    </row>
    <row r="52" spans="6:6" x14ac:dyDescent="0.4">
      <c r="F52" s="32"/>
    </row>
    <row r="53" spans="6:6" x14ac:dyDescent="0.4">
      <c r="F53" s="32"/>
    </row>
    <row r="54" spans="6:6" x14ac:dyDescent="0.4">
      <c r="F54" s="3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6193-B6B3-497A-95D2-75437D481631}">
  <dimension ref="A1:E54"/>
  <sheetViews>
    <sheetView rightToLeft="1" workbookViewId="0">
      <selection activeCell="E3" sqref="E3"/>
    </sheetView>
  </sheetViews>
  <sheetFormatPr defaultRowHeight="15.75" x14ac:dyDescent="0.4"/>
  <cols>
    <col min="1" max="1" width="7.875" style="32" bestFit="1" customWidth="1"/>
    <col min="2" max="2" width="8.875" style="32" bestFit="1" customWidth="1"/>
    <col min="3" max="3" width="12" style="32" bestFit="1" customWidth="1"/>
    <col min="4" max="4" width="12.125" style="35" bestFit="1" customWidth="1"/>
    <col min="5" max="5" width="8.875" style="35" bestFit="1" customWidth="1"/>
    <col min="6" max="6" width="9" style="32" bestFit="1" customWidth="1"/>
    <col min="7" max="16384" width="9" style="32"/>
  </cols>
  <sheetData>
    <row r="1" spans="1:5" x14ac:dyDescent="0.4">
      <c r="A1" s="37" t="s">
        <v>0</v>
      </c>
      <c r="B1" s="37" t="s">
        <v>81</v>
      </c>
      <c r="C1" s="37" t="s">
        <v>2</v>
      </c>
      <c r="D1" s="37" t="s">
        <v>91</v>
      </c>
      <c r="E1" s="37" t="s">
        <v>138</v>
      </c>
    </row>
    <row r="2" spans="1:5" x14ac:dyDescent="0.4">
      <c r="A2" s="32" t="s">
        <v>156</v>
      </c>
      <c r="B2" s="32" t="s">
        <v>93</v>
      </c>
      <c r="C2" s="35">
        <v>10000000</v>
      </c>
      <c r="D2" s="35">
        <v>1</v>
      </c>
      <c r="E2" s="32">
        <f>VLOOKUP(T_TabularReceive[[#This Row],[WeekNo]],T_Week[],2,0)</f>
        <v>1</v>
      </c>
    </row>
    <row r="3" spans="1:5" x14ac:dyDescent="0.4">
      <c r="A3" s="32" t="s">
        <v>156</v>
      </c>
      <c r="B3" s="32" t="s">
        <v>87</v>
      </c>
      <c r="C3" s="35"/>
      <c r="E3" s="32">
        <f>VLOOKUP(T_TabularReceive[[#This Row],[WeekNo]],T_Week[],2,0)</f>
        <v>2</v>
      </c>
    </row>
    <row r="4" spans="1:5" x14ac:dyDescent="0.4">
      <c r="A4" s="32" t="s">
        <v>156</v>
      </c>
      <c r="B4" s="32" t="s">
        <v>94</v>
      </c>
      <c r="C4" s="35"/>
      <c r="E4" s="32">
        <f>VLOOKUP(T_TabularReceive[[#This Row],[WeekNo]],T_Week[],2,0)</f>
        <v>3</v>
      </c>
    </row>
    <row r="5" spans="1:5" x14ac:dyDescent="0.4">
      <c r="A5" s="32" t="s">
        <v>156</v>
      </c>
      <c r="B5" s="32" t="s">
        <v>82</v>
      </c>
      <c r="C5" s="35"/>
      <c r="E5" s="32">
        <f>VLOOKUP(T_TabularReceive[[#This Row],[WeekNo]],T_Week[],2,0)</f>
        <v>4</v>
      </c>
    </row>
    <row r="6" spans="1:5" x14ac:dyDescent="0.4">
      <c r="A6" s="32" t="s">
        <v>156</v>
      </c>
      <c r="B6" s="32" t="s">
        <v>95</v>
      </c>
      <c r="C6" s="35"/>
      <c r="E6" s="32">
        <f>VLOOKUP(T_TabularReceive[[#This Row],[WeekNo]],T_Week[],2,0)</f>
        <v>5</v>
      </c>
    </row>
    <row r="7" spans="1:5" x14ac:dyDescent="0.4">
      <c r="A7" s="32" t="s">
        <v>156</v>
      </c>
      <c r="B7" s="32" t="s">
        <v>96</v>
      </c>
      <c r="C7" s="35"/>
      <c r="E7" s="32">
        <f>VLOOKUP(T_TabularReceive[[#This Row],[WeekNo]],T_Week[],2,0)</f>
        <v>6</v>
      </c>
    </row>
    <row r="8" spans="1:5" x14ac:dyDescent="0.4">
      <c r="A8" s="32" t="s">
        <v>156</v>
      </c>
      <c r="B8" s="32" t="s">
        <v>97</v>
      </c>
      <c r="C8" s="35"/>
      <c r="E8" s="32">
        <f>VLOOKUP(T_TabularReceive[[#This Row],[WeekNo]],T_Week[],2,0)</f>
        <v>7</v>
      </c>
    </row>
    <row r="9" spans="1:5" x14ac:dyDescent="0.4">
      <c r="A9" s="32" t="s">
        <v>156</v>
      </c>
      <c r="B9" s="32" t="s">
        <v>98</v>
      </c>
      <c r="C9" s="35"/>
      <c r="E9" s="32">
        <f>VLOOKUP(T_TabularReceive[[#This Row],[WeekNo]],T_Week[],2,0)</f>
        <v>8</v>
      </c>
    </row>
    <row r="10" spans="1:5" x14ac:dyDescent="0.4">
      <c r="A10" s="32" t="s">
        <v>156</v>
      </c>
      <c r="B10" s="32" t="s">
        <v>85</v>
      </c>
      <c r="C10" s="35"/>
      <c r="E10" s="32">
        <f>VLOOKUP(T_TabularReceive[[#This Row],[WeekNo]],T_Week[],2,0)</f>
        <v>9</v>
      </c>
    </row>
    <row r="11" spans="1:5" x14ac:dyDescent="0.4">
      <c r="A11" s="32" t="s">
        <v>156</v>
      </c>
      <c r="B11" s="32" t="s">
        <v>99</v>
      </c>
      <c r="C11" s="35"/>
      <c r="E11" s="32">
        <f>VLOOKUP(T_TabularReceive[[#This Row],[WeekNo]],T_Week[],2,0)</f>
        <v>10</v>
      </c>
    </row>
    <row r="12" spans="1:5" x14ac:dyDescent="0.4">
      <c r="A12" s="32" t="s">
        <v>156</v>
      </c>
      <c r="B12" s="32" t="s">
        <v>84</v>
      </c>
      <c r="C12" s="35"/>
      <c r="E12" s="32">
        <f>VLOOKUP(T_TabularReceive[[#This Row],[WeekNo]],T_Week[],2,0)</f>
        <v>11</v>
      </c>
    </row>
    <row r="13" spans="1:5" x14ac:dyDescent="0.4">
      <c r="A13" s="32" t="s">
        <v>156</v>
      </c>
      <c r="B13" s="32" t="s">
        <v>100</v>
      </c>
      <c r="C13" s="35"/>
      <c r="E13" s="32">
        <f>VLOOKUP(T_TabularReceive[[#This Row],[WeekNo]],T_Week[],2,0)</f>
        <v>12</v>
      </c>
    </row>
    <row r="14" spans="1:5" x14ac:dyDescent="0.4">
      <c r="A14" s="32" t="s">
        <v>156</v>
      </c>
      <c r="B14" s="32" t="s">
        <v>101</v>
      </c>
      <c r="C14" s="35"/>
      <c r="E14" s="32">
        <f>VLOOKUP(T_TabularReceive[[#This Row],[WeekNo]],T_Week[],2,0)</f>
        <v>13</v>
      </c>
    </row>
    <row r="15" spans="1:5" x14ac:dyDescent="0.4">
      <c r="A15" s="32" t="s">
        <v>156</v>
      </c>
      <c r="B15" s="32" t="s">
        <v>102</v>
      </c>
      <c r="C15" s="35"/>
      <c r="E15" s="32">
        <f>VLOOKUP(T_TabularReceive[[#This Row],[WeekNo]],T_Week[],2,0)</f>
        <v>14</v>
      </c>
    </row>
    <row r="16" spans="1:5" x14ac:dyDescent="0.4">
      <c r="A16" s="32" t="s">
        <v>156</v>
      </c>
      <c r="B16" s="32" t="s">
        <v>103</v>
      </c>
      <c r="C16" s="35"/>
      <c r="E16" s="32">
        <f>VLOOKUP(T_TabularReceive[[#This Row],[WeekNo]],T_Week[],2,0)</f>
        <v>15</v>
      </c>
    </row>
    <row r="17" spans="1:5" x14ac:dyDescent="0.4">
      <c r="A17" s="32" t="s">
        <v>156</v>
      </c>
      <c r="B17" s="32" t="s">
        <v>104</v>
      </c>
      <c r="C17" s="35"/>
      <c r="E17" s="32">
        <f>VLOOKUP(T_TabularReceive[[#This Row],[WeekNo]],T_Week[],2,0)</f>
        <v>16</v>
      </c>
    </row>
    <row r="18" spans="1:5" x14ac:dyDescent="0.4">
      <c r="A18" s="32" t="s">
        <v>156</v>
      </c>
      <c r="B18" s="32" t="s">
        <v>105</v>
      </c>
      <c r="C18" s="35"/>
      <c r="E18" s="32">
        <f>VLOOKUP(T_TabularReceive[[#This Row],[WeekNo]],T_Week[],2,0)</f>
        <v>17</v>
      </c>
    </row>
    <row r="19" spans="1:5" x14ac:dyDescent="0.4">
      <c r="A19" s="32" t="s">
        <v>156</v>
      </c>
      <c r="B19" s="32" t="s">
        <v>106</v>
      </c>
      <c r="C19" s="35"/>
      <c r="E19" s="32">
        <f>VLOOKUP(T_TabularReceive[[#This Row],[WeekNo]],T_Week[],2,0)</f>
        <v>18</v>
      </c>
    </row>
    <row r="20" spans="1:5" x14ac:dyDescent="0.4">
      <c r="A20" s="32" t="s">
        <v>156</v>
      </c>
      <c r="B20" s="32" t="s">
        <v>107</v>
      </c>
      <c r="C20" s="35"/>
      <c r="E20" s="32">
        <f>VLOOKUP(T_TabularReceive[[#This Row],[WeekNo]],T_Week[],2,0)</f>
        <v>19</v>
      </c>
    </row>
    <row r="21" spans="1:5" x14ac:dyDescent="0.4">
      <c r="A21" s="32" t="s">
        <v>156</v>
      </c>
      <c r="B21" s="32" t="s">
        <v>83</v>
      </c>
      <c r="C21" s="35"/>
      <c r="E21" s="32">
        <f>VLOOKUP(T_TabularReceive[[#This Row],[WeekNo]],T_Week[],2,0)</f>
        <v>20</v>
      </c>
    </row>
    <row r="22" spans="1:5" x14ac:dyDescent="0.4">
      <c r="A22" s="32" t="s">
        <v>156</v>
      </c>
      <c r="B22" s="32" t="s">
        <v>108</v>
      </c>
      <c r="C22" s="35"/>
      <c r="E22" s="32">
        <f>VLOOKUP(T_TabularReceive[[#This Row],[WeekNo]],T_Week[],2,0)</f>
        <v>21</v>
      </c>
    </row>
    <row r="23" spans="1:5" x14ac:dyDescent="0.4">
      <c r="A23" s="32" t="s">
        <v>156</v>
      </c>
      <c r="B23" s="32" t="s">
        <v>109</v>
      </c>
      <c r="C23" s="35"/>
      <c r="E23" s="32">
        <f>VLOOKUP(T_TabularReceive[[#This Row],[WeekNo]],T_Week[],2,0)</f>
        <v>22</v>
      </c>
    </row>
    <row r="24" spans="1:5" x14ac:dyDescent="0.4">
      <c r="A24" s="32" t="s">
        <v>156</v>
      </c>
      <c r="B24" s="32" t="s">
        <v>110</v>
      </c>
      <c r="C24" s="35"/>
      <c r="E24" s="32">
        <f>VLOOKUP(T_TabularReceive[[#This Row],[WeekNo]],T_Week[],2,0)</f>
        <v>23</v>
      </c>
    </row>
    <row r="25" spans="1:5" x14ac:dyDescent="0.4">
      <c r="A25" s="32" t="s">
        <v>156</v>
      </c>
      <c r="B25" s="32" t="s">
        <v>111</v>
      </c>
      <c r="C25" s="35"/>
      <c r="E25" s="32">
        <f>VLOOKUP(T_TabularReceive[[#This Row],[WeekNo]],T_Week[],2,0)</f>
        <v>24</v>
      </c>
    </row>
    <row r="26" spans="1:5" x14ac:dyDescent="0.4">
      <c r="A26" s="32" t="s">
        <v>156</v>
      </c>
      <c r="B26" s="32" t="s">
        <v>89</v>
      </c>
      <c r="C26" s="35"/>
      <c r="E26" s="32">
        <f>VLOOKUP(T_TabularReceive[[#This Row],[WeekNo]],T_Week[],2,0)</f>
        <v>25</v>
      </c>
    </row>
    <row r="27" spans="1:5" x14ac:dyDescent="0.4">
      <c r="A27" s="32" t="s">
        <v>156</v>
      </c>
      <c r="B27" s="32" t="s">
        <v>112</v>
      </c>
      <c r="C27" s="35"/>
      <c r="E27" s="32">
        <f>VLOOKUP(T_TabularReceive[[#This Row],[WeekNo]],T_Week[],2,0)</f>
        <v>26</v>
      </c>
    </row>
    <row r="28" spans="1:5" x14ac:dyDescent="0.4">
      <c r="A28" s="32" t="s">
        <v>156</v>
      </c>
      <c r="B28" s="32" t="s">
        <v>113</v>
      </c>
      <c r="C28" s="35"/>
      <c r="E28" s="32">
        <f>VLOOKUP(T_TabularReceive[[#This Row],[WeekNo]],T_Week[],2,0)</f>
        <v>27</v>
      </c>
    </row>
    <row r="29" spans="1:5" x14ac:dyDescent="0.4">
      <c r="A29" s="32" t="s">
        <v>156</v>
      </c>
      <c r="B29" s="32" t="s">
        <v>114</v>
      </c>
      <c r="C29" s="35"/>
      <c r="E29" s="32">
        <f>VLOOKUP(T_TabularReceive[[#This Row],[WeekNo]],T_Week[],2,0)</f>
        <v>28</v>
      </c>
    </row>
    <row r="30" spans="1:5" x14ac:dyDescent="0.4">
      <c r="A30" s="32" t="s">
        <v>156</v>
      </c>
      <c r="B30" s="32" t="s">
        <v>115</v>
      </c>
      <c r="C30" s="35"/>
      <c r="E30" s="32">
        <f>VLOOKUP(T_TabularReceive[[#This Row],[WeekNo]],T_Week[],2,0)</f>
        <v>29</v>
      </c>
    </row>
    <row r="31" spans="1:5" x14ac:dyDescent="0.4">
      <c r="A31" s="32" t="s">
        <v>156</v>
      </c>
      <c r="B31" s="32" t="s">
        <v>90</v>
      </c>
      <c r="C31" s="35"/>
      <c r="E31" s="32">
        <f>VLOOKUP(T_TabularReceive[[#This Row],[WeekNo]],T_Week[],2,0)</f>
        <v>30</v>
      </c>
    </row>
    <row r="32" spans="1:5" x14ac:dyDescent="0.4">
      <c r="A32" s="32" t="s">
        <v>156</v>
      </c>
      <c r="B32" s="32" t="s">
        <v>116</v>
      </c>
      <c r="C32" s="35"/>
      <c r="E32" s="32">
        <f>VLOOKUP(T_TabularReceive[[#This Row],[WeekNo]],T_Week[],2,0)</f>
        <v>31</v>
      </c>
    </row>
    <row r="33" spans="1:5" x14ac:dyDescent="0.4">
      <c r="A33" s="32" t="s">
        <v>156</v>
      </c>
      <c r="B33" s="32" t="s">
        <v>117</v>
      </c>
      <c r="C33" s="35"/>
      <c r="E33" s="32">
        <f>VLOOKUP(T_TabularReceive[[#This Row],[WeekNo]],T_Week[],2,0)</f>
        <v>32</v>
      </c>
    </row>
    <row r="34" spans="1:5" x14ac:dyDescent="0.4">
      <c r="A34" s="32" t="s">
        <v>156</v>
      </c>
      <c r="B34" s="32" t="s">
        <v>118</v>
      </c>
      <c r="C34" s="35"/>
      <c r="E34" s="32">
        <f>VLOOKUP(T_TabularReceive[[#This Row],[WeekNo]],T_Week[],2,0)</f>
        <v>33</v>
      </c>
    </row>
    <row r="35" spans="1:5" x14ac:dyDescent="0.4">
      <c r="A35" s="32" t="s">
        <v>156</v>
      </c>
      <c r="B35" s="32" t="s">
        <v>119</v>
      </c>
      <c r="C35" s="35"/>
      <c r="E35" s="32">
        <f>VLOOKUP(T_TabularReceive[[#This Row],[WeekNo]],T_Week[],2,0)</f>
        <v>34</v>
      </c>
    </row>
    <row r="36" spans="1:5" x14ac:dyDescent="0.4">
      <c r="A36" s="32" t="s">
        <v>156</v>
      </c>
      <c r="B36" s="32" t="s">
        <v>120</v>
      </c>
      <c r="C36" s="35"/>
      <c r="E36" s="32">
        <f>VLOOKUP(T_TabularReceive[[#This Row],[WeekNo]],T_Week[],2,0)</f>
        <v>35</v>
      </c>
    </row>
    <row r="37" spans="1:5" x14ac:dyDescent="0.4">
      <c r="A37" s="32" t="s">
        <v>156</v>
      </c>
      <c r="B37" s="32" t="s">
        <v>121</v>
      </c>
      <c r="C37" s="35"/>
      <c r="E37" s="32">
        <f>VLOOKUP(T_TabularReceive[[#This Row],[WeekNo]],T_Week[],2,0)</f>
        <v>36</v>
      </c>
    </row>
    <row r="38" spans="1:5" x14ac:dyDescent="0.4">
      <c r="A38" s="32" t="s">
        <v>156</v>
      </c>
      <c r="B38" s="32" t="s">
        <v>122</v>
      </c>
      <c r="C38" s="35"/>
      <c r="E38" s="32">
        <f>VLOOKUP(T_TabularReceive[[#This Row],[WeekNo]],T_Week[],2,0)</f>
        <v>37</v>
      </c>
    </row>
    <row r="39" spans="1:5" x14ac:dyDescent="0.4">
      <c r="A39" s="32" t="s">
        <v>156</v>
      </c>
      <c r="B39" s="32" t="s">
        <v>123</v>
      </c>
      <c r="C39" s="35"/>
      <c r="E39" s="32">
        <f>VLOOKUP(T_TabularReceive[[#This Row],[WeekNo]],T_Week[],2,0)</f>
        <v>38</v>
      </c>
    </row>
    <row r="40" spans="1:5" x14ac:dyDescent="0.4">
      <c r="A40" s="32" t="s">
        <v>156</v>
      </c>
      <c r="B40" s="32" t="s">
        <v>92</v>
      </c>
      <c r="C40" s="35"/>
      <c r="E40" s="32">
        <f>VLOOKUP(T_TabularReceive[[#This Row],[WeekNo]],T_Week[],2,0)</f>
        <v>39</v>
      </c>
    </row>
    <row r="41" spans="1:5" x14ac:dyDescent="0.4">
      <c r="A41" s="32" t="s">
        <v>156</v>
      </c>
      <c r="B41" s="32" t="s">
        <v>124</v>
      </c>
      <c r="C41" s="35"/>
      <c r="E41" s="32">
        <f>VLOOKUP(T_TabularReceive[[#This Row],[WeekNo]],T_Week[],2,0)</f>
        <v>40</v>
      </c>
    </row>
    <row r="42" spans="1:5" x14ac:dyDescent="0.4">
      <c r="A42" s="32" t="s">
        <v>156</v>
      </c>
      <c r="B42" s="32" t="s">
        <v>125</v>
      </c>
      <c r="C42" s="35"/>
      <c r="E42" s="32">
        <f>VLOOKUP(T_TabularReceive[[#This Row],[WeekNo]],T_Week[],2,0)</f>
        <v>41</v>
      </c>
    </row>
    <row r="43" spans="1:5" x14ac:dyDescent="0.4">
      <c r="A43" s="32" t="s">
        <v>156</v>
      </c>
      <c r="B43" s="32" t="s">
        <v>126</v>
      </c>
      <c r="C43" s="35"/>
      <c r="E43" s="32">
        <f>VLOOKUP(T_TabularReceive[[#This Row],[WeekNo]],T_Week[],2,0)</f>
        <v>42</v>
      </c>
    </row>
    <row r="44" spans="1:5" x14ac:dyDescent="0.4">
      <c r="A44" s="32" t="s">
        <v>156</v>
      </c>
      <c r="B44" s="32" t="s">
        <v>127</v>
      </c>
      <c r="C44" s="35"/>
      <c r="E44" s="32">
        <f>VLOOKUP(T_TabularReceive[[#This Row],[WeekNo]],T_Week[],2,0)</f>
        <v>43</v>
      </c>
    </row>
    <row r="45" spans="1:5" x14ac:dyDescent="0.4">
      <c r="A45" s="32" t="s">
        <v>156</v>
      </c>
      <c r="B45" s="32" t="s">
        <v>128</v>
      </c>
      <c r="C45" s="35"/>
      <c r="E45" s="32">
        <f>VLOOKUP(T_TabularReceive[[#This Row],[WeekNo]],T_Week[],2,0)</f>
        <v>44</v>
      </c>
    </row>
    <row r="46" spans="1:5" x14ac:dyDescent="0.4">
      <c r="A46" s="32" t="s">
        <v>156</v>
      </c>
      <c r="B46" s="32" t="s">
        <v>129</v>
      </c>
      <c r="C46" s="35"/>
      <c r="E46" s="32">
        <f>VLOOKUP(T_TabularReceive[[#This Row],[WeekNo]],T_Week[],2,0)</f>
        <v>45</v>
      </c>
    </row>
    <row r="47" spans="1:5" x14ac:dyDescent="0.4">
      <c r="A47" s="32" t="s">
        <v>156</v>
      </c>
      <c r="B47" s="32" t="s">
        <v>130</v>
      </c>
      <c r="C47" s="35"/>
      <c r="E47" s="32">
        <f>VLOOKUP(T_TabularReceive[[#This Row],[WeekNo]],T_Week[],2,0)</f>
        <v>46</v>
      </c>
    </row>
    <row r="48" spans="1:5" x14ac:dyDescent="0.4">
      <c r="A48" s="32" t="s">
        <v>156</v>
      </c>
      <c r="B48" s="32" t="s">
        <v>131</v>
      </c>
      <c r="C48" s="35"/>
      <c r="E48" s="32">
        <f>VLOOKUP(T_TabularReceive[[#This Row],[WeekNo]],T_Week[],2,0)</f>
        <v>47</v>
      </c>
    </row>
    <row r="49" spans="1:5" x14ac:dyDescent="0.4">
      <c r="A49" s="32" t="s">
        <v>156</v>
      </c>
      <c r="B49" s="32" t="s">
        <v>132</v>
      </c>
      <c r="C49" s="35"/>
      <c r="E49" s="32">
        <f>VLOOKUP(T_TabularReceive[[#This Row],[WeekNo]],T_Week[],2,0)</f>
        <v>48</v>
      </c>
    </row>
    <row r="50" spans="1:5" x14ac:dyDescent="0.4">
      <c r="A50" s="32" t="s">
        <v>156</v>
      </c>
      <c r="B50" s="32" t="s">
        <v>133</v>
      </c>
      <c r="C50" s="35"/>
      <c r="E50" s="32">
        <f>VLOOKUP(T_TabularReceive[[#This Row],[WeekNo]],T_Week[],2,0)</f>
        <v>49</v>
      </c>
    </row>
    <row r="51" spans="1:5" x14ac:dyDescent="0.4">
      <c r="A51" s="32" t="s">
        <v>156</v>
      </c>
      <c r="B51" s="32" t="s">
        <v>134</v>
      </c>
      <c r="C51" s="35"/>
      <c r="E51" s="32">
        <f>VLOOKUP(T_TabularReceive[[#This Row],[WeekNo]],T_Week[],2,0)</f>
        <v>50</v>
      </c>
    </row>
    <row r="52" spans="1:5" x14ac:dyDescent="0.4">
      <c r="A52" s="32" t="s">
        <v>156</v>
      </c>
      <c r="B52" s="32" t="s">
        <v>135</v>
      </c>
      <c r="C52" s="35"/>
      <c r="E52" s="32">
        <f>VLOOKUP(T_TabularReceive[[#This Row],[WeekNo]],T_Week[],2,0)</f>
        <v>51</v>
      </c>
    </row>
    <row r="53" spans="1:5" x14ac:dyDescent="0.4">
      <c r="A53" s="32" t="s">
        <v>156</v>
      </c>
      <c r="B53" s="32" t="s">
        <v>86</v>
      </c>
      <c r="C53" s="35"/>
      <c r="E53" s="32">
        <f>VLOOKUP(T_TabularReceive[[#This Row],[WeekNo]],T_Week[],2,0)</f>
        <v>52</v>
      </c>
    </row>
    <row r="54" spans="1:5" x14ac:dyDescent="0.4">
      <c r="A54" s="32" t="s">
        <v>156</v>
      </c>
      <c r="B54" s="32" t="s">
        <v>136</v>
      </c>
      <c r="C54" s="35"/>
      <c r="E54" s="32">
        <f>VLOOKUP(T_TabularReceive[[#This Row],[WeekNo]],T_Week[],2,0)</f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41DE-D2AB-46FE-8AC1-F09E50386FC8}">
  <sheetPr>
    <tabColor rgb="FF4A5759"/>
    <outlinePr summaryRight="0"/>
  </sheetPr>
  <dimension ref="A1:BP5"/>
  <sheetViews>
    <sheetView showGridLines="0" rightToLeft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ColWidth="30.625" defaultRowHeight="18.75" outlineLevelCol="1" x14ac:dyDescent="0.45"/>
  <cols>
    <col min="1" max="2" width="20.625" style="7" customWidth="1"/>
    <col min="3" max="3" width="30.625" style="7"/>
    <col min="4" max="4" width="30.625" style="7" collapsed="1"/>
    <col min="5" max="9" width="30.625" style="7" hidden="1" customWidth="1" outlineLevel="1"/>
    <col min="10" max="10" width="30.625" style="7" collapsed="1"/>
    <col min="11" max="14" width="30.625" style="7" hidden="1" customWidth="1" outlineLevel="1"/>
    <col min="15" max="15" width="30.625" style="7" collapsed="1"/>
    <col min="16" max="20" width="30.625" style="7" hidden="1" customWidth="1" outlineLevel="1"/>
    <col min="21" max="21" width="30.625" style="7" collapsed="1"/>
    <col min="22" max="25" width="30.625" style="7" hidden="1" customWidth="1" outlineLevel="1"/>
    <col min="26" max="26" width="30.625" style="7" collapsed="1"/>
    <col min="27" max="31" width="30.625" style="7" hidden="1" customWidth="1" outlineLevel="1"/>
    <col min="32" max="32" width="30.625" style="7" collapsed="1"/>
    <col min="33" max="36" width="30.625" style="7" hidden="1" customWidth="1" outlineLevel="1"/>
    <col min="37" max="37" width="30.625" style="7" collapsed="1"/>
    <col min="38" max="41" width="30.625" style="7" hidden="1" customWidth="1" outlineLevel="1"/>
    <col min="42" max="42" width="30.625" style="7" collapsed="1"/>
    <col min="43" max="47" width="30.625" style="7" hidden="1" customWidth="1" outlineLevel="1"/>
    <col min="48" max="48" width="30.625" style="7" collapsed="1"/>
    <col min="49" max="52" width="30.625" style="7" hidden="1" customWidth="1" outlineLevel="1"/>
    <col min="53" max="53" width="30.625" style="7" collapsed="1"/>
    <col min="54" max="57" width="30.625" style="7" hidden="1" customWidth="1" outlineLevel="1"/>
    <col min="58" max="58" width="30.625" style="7" collapsed="1"/>
    <col min="59" max="62" width="30.625" style="7" hidden="1" customWidth="1" outlineLevel="1"/>
    <col min="63" max="63" width="30.625" style="7" collapsed="1"/>
    <col min="64" max="68" width="30.625" style="7" hidden="1" customWidth="1" outlineLevel="1"/>
    <col min="69" max="16384" width="30.625" style="7"/>
  </cols>
  <sheetData>
    <row r="1" spans="1:68" ht="6.95" customHeight="1" x14ac:dyDescent="0.45">
      <c r="A1" s="53" t="s">
        <v>140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6"/>
      <c r="AL1" s="56"/>
      <c r="AM1" s="56"/>
      <c r="AN1" s="56"/>
      <c r="AO1" s="56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</row>
    <row r="2" spans="1:68" s="41" customFormat="1" ht="30" customHeight="1" x14ac:dyDescent="0.2">
      <c r="A2" s="53"/>
      <c r="B2" s="27"/>
      <c r="D2" s="42" t="s">
        <v>4</v>
      </c>
      <c r="E2" s="57" t="s">
        <v>157</v>
      </c>
      <c r="F2" s="57"/>
      <c r="G2" s="57"/>
      <c r="H2" s="57"/>
      <c r="I2" s="57"/>
      <c r="J2" s="42" t="s">
        <v>5</v>
      </c>
      <c r="K2" s="58" t="s">
        <v>158</v>
      </c>
      <c r="L2" s="58"/>
      <c r="M2" s="58"/>
      <c r="N2" s="58"/>
      <c r="O2" s="42" t="s">
        <v>10</v>
      </c>
      <c r="P2" s="58" t="s">
        <v>165</v>
      </c>
      <c r="Q2" s="58"/>
      <c r="R2" s="58"/>
      <c r="S2" s="58"/>
      <c r="T2" s="58"/>
      <c r="U2" s="44" t="s">
        <v>11</v>
      </c>
      <c r="V2" s="58" t="s">
        <v>159</v>
      </c>
      <c r="W2" s="58"/>
      <c r="X2" s="58"/>
      <c r="Y2" s="58"/>
      <c r="Z2" s="44" t="s">
        <v>12</v>
      </c>
      <c r="AA2" s="58" t="s">
        <v>160</v>
      </c>
      <c r="AB2" s="58"/>
      <c r="AC2" s="58"/>
      <c r="AD2" s="58"/>
      <c r="AE2" s="58"/>
      <c r="AF2" s="44" t="s">
        <v>13</v>
      </c>
      <c r="AG2" s="58" t="s">
        <v>161</v>
      </c>
      <c r="AH2" s="58"/>
      <c r="AI2" s="58"/>
      <c r="AJ2" s="58"/>
      <c r="AK2" s="42" t="s">
        <v>14</v>
      </c>
      <c r="AL2" s="58" t="s">
        <v>162</v>
      </c>
      <c r="AM2" s="58"/>
      <c r="AN2" s="58"/>
      <c r="AO2" s="58"/>
      <c r="AP2" s="42" t="s">
        <v>15</v>
      </c>
      <c r="AQ2" s="58" t="s">
        <v>166</v>
      </c>
      <c r="AR2" s="58"/>
      <c r="AS2" s="58"/>
      <c r="AT2" s="58"/>
      <c r="AU2" s="58"/>
      <c r="AV2" s="42" t="s">
        <v>16</v>
      </c>
      <c r="AW2" s="58" t="s">
        <v>161</v>
      </c>
      <c r="AX2" s="58"/>
      <c r="AY2" s="58"/>
      <c r="AZ2" s="58"/>
      <c r="BA2" s="44" t="s">
        <v>17</v>
      </c>
      <c r="BB2" s="58" t="s">
        <v>158</v>
      </c>
      <c r="BC2" s="58"/>
      <c r="BD2" s="58"/>
      <c r="BE2" s="58"/>
      <c r="BF2" s="44" t="s">
        <v>18</v>
      </c>
      <c r="BG2" s="58" t="s">
        <v>163</v>
      </c>
      <c r="BH2" s="58"/>
      <c r="BI2" s="58"/>
      <c r="BJ2" s="58"/>
      <c r="BK2" s="44" t="s">
        <v>19</v>
      </c>
      <c r="BL2" s="58" t="s">
        <v>164</v>
      </c>
      <c r="BM2" s="58"/>
      <c r="BN2" s="58"/>
      <c r="BO2" s="58"/>
      <c r="BP2" s="58"/>
    </row>
    <row r="3" spans="1:68" s="48" customFormat="1" ht="39.950000000000003" customHeight="1" x14ac:dyDescent="0.45">
      <c r="A3" s="46" t="s">
        <v>0</v>
      </c>
      <c r="B3" s="46" t="s">
        <v>145</v>
      </c>
      <c r="C3" s="46" t="s">
        <v>2</v>
      </c>
      <c r="D3" s="47" t="s">
        <v>6</v>
      </c>
      <c r="E3" s="46" t="s">
        <v>8</v>
      </c>
      <c r="F3" s="46" t="s">
        <v>33</v>
      </c>
      <c r="G3" s="46" t="s">
        <v>34</v>
      </c>
      <c r="H3" s="46" t="s">
        <v>35</v>
      </c>
      <c r="I3" s="46" t="s">
        <v>36</v>
      </c>
      <c r="J3" s="47" t="s">
        <v>7</v>
      </c>
      <c r="K3" s="46" t="s">
        <v>37</v>
      </c>
      <c r="L3" s="46" t="s">
        <v>38</v>
      </c>
      <c r="M3" s="46" t="s">
        <v>39</v>
      </c>
      <c r="N3" s="46" t="s">
        <v>40</v>
      </c>
      <c r="O3" s="47" t="s">
        <v>20</v>
      </c>
      <c r="P3" s="46" t="s">
        <v>41</v>
      </c>
      <c r="Q3" s="46" t="s">
        <v>42</v>
      </c>
      <c r="R3" s="46" t="s">
        <v>43</v>
      </c>
      <c r="S3" s="46" t="s">
        <v>9</v>
      </c>
      <c r="T3" s="46" t="s">
        <v>44</v>
      </c>
      <c r="U3" s="47" t="s">
        <v>21</v>
      </c>
      <c r="V3" s="46" t="s">
        <v>45</v>
      </c>
      <c r="W3" s="46" t="s">
        <v>30</v>
      </c>
      <c r="X3" s="46" t="s">
        <v>46</v>
      </c>
      <c r="Y3" s="46" t="s">
        <v>47</v>
      </c>
      <c r="Z3" s="47" t="s">
        <v>22</v>
      </c>
      <c r="AA3" s="46" t="s">
        <v>48</v>
      </c>
      <c r="AB3" s="46" t="s">
        <v>49</v>
      </c>
      <c r="AC3" s="46" t="s">
        <v>50</v>
      </c>
      <c r="AD3" s="46" t="s">
        <v>51</v>
      </c>
      <c r="AE3" s="46" t="s">
        <v>52</v>
      </c>
      <c r="AF3" s="47" t="s">
        <v>23</v>
      </c>
      <c r="AG3" s="46" t="s">
        <v>53</v>
      </c>
      <c r="AH3" s="46" t="s">
        <v>54</v>
      </c>
      <c r="AI3" s="46" t="s">
        <v>55</v>
      </c>
      <c r="AJ3" s="46" t="s">
        <v>56</v>
      </c>
      <c r="AK3" s="47" t="s">
        <v>24</v>
      </c>
      <c r="AL3" s="46" t="s">
        <v>57</v>
      </c>
      <c r="AM3" s="46" t="s">
        <v>58</v>
      </c>
      <c r="AN3" s="46" t="s">
        <v>59</v>
      </c>
      <c r="AO3" s="46" t="s">
        <v>60</v>
      </c>
      <c r="AP3" s="47" t="s">
        <v>25</v>
      </c>
      <c r="AQ3" s="46" t="s">
        <v>61</v>
      </c>
      <c r="AR3" s="46" t="s">
        <v>62</v>
      </c>
      <c r="AS3" s="46" t="s">
        <v>63</v>
      </c>
      <c r="AT3" s="46" t="s">
        <v>64</v>
      </c>
      <c r="AU3" s="46" t="s">
        <v>65</v>
      </c>
      <c r="AV3" s="47" t="s">
        <v>26</v>
      </c>
      <c r="AW3" s="46" t="s">
        <v>66</v>
      </c>
      <c r="AX3" s="46" t="s">
        <v>67</v>
      </c>
      <c r="AY3" s="46" t="s">
        <v>68</v>
      </c>
      <c r="AZ3" s="46" t="s">
        <v>69</v>
      </c>
      <c r="BA3" s="47" t="s">
        <v>27</v>
      </c>
      <c r="BB3" s="46" t="s">
        <v>70</v>
      </c>
      <c r="BC3" s="46" t="s">
        <v>71</v>
      </c>
      <c r="BD3" s="46" t="s">
        <v>72</v>
      </c>
      <c r="BE3" s="46" t="s">
        <v>73</v>
      </c>
      <c r="BF3" s="47" t="s">
        <v>28</v>
      </c>
      <c r="BG3" s="46" t="s">
        <v>74</v>
      </c>
      <c r="BH3" s="46" t="s">
        <v>75</v>
      </c>
      <c r="BI3" s="46" t="s">
        <v>76</v>
      </c>
      <c r="BJ3" s="46" t="s">
        <v>77</v>
      </c>
      <c r="BK3" s="47" t="s">
        <v>29</v>
      </c>
      <c r="BL3" s="46" t="s">
        <v>78</v>
      </c>
      <c r="BM3" s="46" t="s">
        <v>79</v>
      </c>
      <c r="BN3" s="46" t="s">
        <v>31</v>
      </c>
      <c r="BO3" s="46" t="s">
        <v>32</v>
      </c>
      <c r="BP3" s="46" t="s">
        <v>80</v>
      </c>
    </row>
    <row r="4" spans="1:68" x14ac:dyDescent="0.45">
      <c r="A4" s="16"/>
      <c r="B4" s="16"/>
      <c r="C4" s="17">
        <f>SUMIF(D$3:BP$3, "Summary*", D4:BP4)</f>
        <v>0</v>
      </c>
      <c r="D4" s="18">
        <f>SUM(T_Receive[[#This Row],[w12]:[w16]])</f>
        <v>0</v>
      </c>
      <c r="E4" s="19"/>
      <c r="F4" s="19"/>
      <c r="G4" s="19"/>
      <c r="H4" s="19"/>
      <c r="I4" s="19"/>
      <c r="J4" s="18">
        <f>SUM(T_Receive[[#This Row],[w17]:[w20]])</f>
        <v>0</v>
      </c>
      <c r="K4" s="19"/>
      <c r="L4" s="19"/>
      <c r="M4" s="19"/>
      <c r="N4" s="19"/>
      <c r="O4" s="18">
        <f>SUM(T_Receive[[#This Row],[w21]:[w25]])</f>
        <v>0</v>
      </c>
      <c r="P4" s="20"/>
      <c r="Q4" s="20"/>
      <c r="R4" s="20"/>
      <c r="S4" s="19"/>
      <c r="T4" s="19"/>
      <c r="U4" s="18">
        <f>SUM(T_Receive[[#This Row],[w26]:[w29]])</f>
        <v>0</v>
      </c>
      <c r="V4" s="19"/>
      <c r="W4" s="19"/>
      <c r="X4" s="19"/>
      <c r="Y4" s="19"/>
      <c r="Z4" s="18">
        <f>SUM(T_Receive[[#This Row],[w30]:[w34]])</f>
        <v>0</v>
      </c>
      <c r="AA4" s="19"/>
      <c r="AB4" s="19"/>
      <c r="AC4" s="19"/>
      <c r="AD4" s="19"/>
      <c r="AE4" s="19"/>
      <c r="AF4" s="18">
        <f>SUM(T_Receive[[#This Row],[w35]:[w38]])</f>
        <v>0</v>
      </c>
      <c r="AG4" s="19"/>
      <c r="AH4" s="19"/>
      <c r="AI4" s="19"/>
      <c r="AJ4" s="19"/>
      <c r="AK4" s="18">
        <f>SUM(T_Receive[[#This Row],[w39]:[w42]])</f>
        <v>0</v>
      </c>
      <c r="AL4" s="19"/>
      <c r="AM4" s="19"/>
      <c r="AN4" s="19"/>
      <c r="AO4" s="19"/>
      <c r="AP4" s="18">
        <f>SUM(T_Receive[[#This Row],[w43]:[w47]])</f>
        <v>0</v>
      </c>
      <c r="AQ4" s="19"/>
      <c r="AR4" s="19"/>
      <c r="AS4" s="19"/>
      <c r="AT4" s="19"/>
      <c r="AU4" s="19"/>
      <c r="AV4" s="18">
        <f>SUM(T_Receive[[#This Row],[w48]:[w51]])</f>
        <v>0</v>
      </c>
      <c r="AW4" s="19"/>
      <c r="AX4" s="19"/>
      <c r="AY4" s="19"/>
      <c r="AZ4" s="19"/>
      <c r="BA4" s="18">
        <f>SUM(T_Receive[[#This Row],[w52]:[w03]])</f>
        <v>0</v>
      </c>
      <c r="BB4" s="19"/>
      <c r="BC4" s="19"/>
      <c r="BD4" s="19"/>
      <c r="BE4" s="19"/>
      <c r="BF4" s="18">
        <f>SUM(T_Receive[[#This Row],[w04]:[w07]])</f>
        <v>0</v>
      </c>
      <c r="BG4" s="19"/>
      <c r="BH4" s="19"/>
      <c r="BI4" s="19"/>
      <c r="BJ4" s="19"/>
      <c r="BK4" s="18">
        <f>SUM(T_Receive[[#This Row],[w08]:[w12'']])</f>
        <v>0</v>
      </c>
      <c r="BL4" s="19"/>
      <c r="BM4" s="19"/>
      <c r="BN4" s="19"/>
      <c r="BO4" s="19"/>
      <c r="BP4" s="19"/>
    </row>
    <row r="5" spans="1:68" x14ac:dyDescent="0.45">
      <c r="A5" s="21" t="s">
        <v>88</v>
      </c>
      <c r="B5" s="21"/>
      <c r="C5" s="22">
        <f>SUBTOTAL(109,T_Receive[Amount])/10000000</f>
        <v>0</v>
      </c>
      <c r="D5" s="23">
        <f>SUBTOTAL(109,T_Receive[Summary 01])</f>
        <v>0</v>
      </c>
      <c r="E5" s="23">
        <f>SUBTOTAL(109,T_Receive[w12])</f>
        <v>0</v>
      </c>
      <c r="F5" s="23">
        <f>SUBTOTAL(109,T_Receive[w13])</f>
        <v>0</v>
      </c>
      <c r="G5" s="23">
        <f>SUBTOTAL(109,T_Receive[w14])</f>
        <v>0</v>
      </c>
      <c r="H5" s="23">
        <f>SUBTOTAL(109,T_Receive[w15])</f>
        <v>0</v>
      </c>
      <c r="I5" s="23">
        <f>SUBTOTAL(109,T_Receive[w16])</f>
        <v>0</v>
      </c>
      <c r="J5" s="23">
        <f>SUBTOTAL(109,T_Receive[Summary 02])</f>
        <v>0</v>
      </c>
      <c r="K5" s="23">
        <f>SUBTOTAL(109,T_Receive[w17])</f>
        <v>0</v>
      </c>
      <c r="L5" s="23">
        <f>SUBTOTAL(109,T_Receive[w18])</f>
        <v>0</v>
      </c>
      <c r="M5" s="23">
        <f>SUBTOTAL(109,T_Receive[w19])</f>
        <v>0</v>
      </c>
      <c r="N5" s="23">
        <f>SUBTOTAL(109,T_Receive[w20])</f>
        <v>0</v>
      </c>
      <c r="O5" s="23">
        <f>SUBTOTAL(109,T_Receive[Summary 03])</f>
        <v>0</v>
      </c>
      <c r="P5" s="23">
        <f>SUBTOTAL(109,T_Receive[w21])</f>
        <v>0</v>
      </c>
      <c r="Q5" s="23">
        <f>SUBTOTAL(109,T_Receive[w22])</f>
        <v>0</v>
      </c>
      <c r="R5" s="23">
        <f>SUBTOTAL(109,T_Receive[w23])</f>
        <v>0</v>
      </c>
      <c r="S5" s="23">
        <f>SUBTOTAL(109,T_Receive[w24])</f>
        <v>0</v>
      </c>
      <c r="T5" s="23">
        <f>SUBTOTAL(109,T_Receive[w25])</f>
        <v>0</v>
      </c>
      <c r="U5" s="23">
        <f>SUBTOTAL(109,T_Receive[Summary 04])</f>
        <v>0</v>
      </c>
      <c r="V5" s="23">
        <f>SUBTOTAL(109,T_Receive[w26])</f>
        <v>0</v>
      </c>
      <c r="W5" s="23">
        <f>SUBTOTAL(109,T_Receive[w27])</f>
        <v>0</v>
      </c>
      <c r="X5" s="23">
        <f>SUBTOTAL(109,T_Receive[w28])</f>
        <v>0</v>
      </c>
      <c r="Y5" s="23">
        <f>SUBTOTAL(109,T_Receive[w29])</f>
        <v>0</v>
      </c>
      <c r="Z5" s="23">
        <f>SUBTOTAL(109,T_Receive[Summary 05])</f>
        <v>0</v>
      </c>
      <c r="AA5" s="23">
        <f>SUBTOTAL(109,T_Receive[w30])</f>
        <v>0</v>
      </c>
      <c r="AB5" s="23">
        <f>SUBTOTAL(109,T_Receive[w31])</f>
        <v>0</v>
      </c>
      <c r="AC5" s="23">
        <f>SUBTOTAL(109,T_Receive[w32])</f>
        <v>0</v>
      </c>
      <c r="AD5" s="23">
        <f>SUBTOTAL(109,T_Receive[w33])</f>
        <v>0</v>
      </c>
      <c r="AE5" s="23">
        <f>SUBTOTAL(109,T_Receive[w34])</f>
        <v>0</v>
      </c>
      <c r="AF5" s="23">
        <f>SUBTOTAL(109,T_Receive[Summary 06])</f>
        <v>0</v>
      </c>
      <c r="AG5" s="23">
        <f>SUBTOTAL(109,T_Receive[w35])</f>
        <v>0</v>
      </c>
      <c r="AH5" s="23">
        <f>SUBTOTAL(109,T_Receive[w36])</f>
        <v>0</v>
      </c>
      <c r="AI5" s="23">
        <f>SUBTOTAL(109,T_Receive[w37])</f>
        <v>0</v>
      </c>
      <c r="AJ5" s="23">
        <f>SUBTOTAL(109,T_Receive[w38])</f>
        <v>0</v>
      </c>
      <c r="AK5" s="23">
        <f>SUBTOTAL(109,T_Receive[Summary 07])</f>
        <v>0</v>
      </c>
      <c r="AL5" s="23">
        <f>SUBTOTAL(109,T_Receive[w39])</f>
        <v>0</v>
      </c>
      <c r="AM5" s="23">
        <f>SUBTOTAL(109,T_Receive[w40])</f>
        <v>0</v>
      </c>
      <c r="AN5" s="23">
        <f>SUBTOTAL(109,T_Receive[w41])</f>
        <v>0</v>
      </c>
      <c r="AO5" s="23">
        <f>SUBTOTAL(109,T_Receive[w42])</f>
        <v>0</v>
      </c>
      <c r="AP5" s="23">
        <f>SUBTOTAL(109,T_Receive[Summary 08])</f>
        <v>0</v>
      </c>
      <c r="AQ5" s="23">
        <f>SUBTOTAL(109,T_Receive[w43])</f>
        <v>0</v>
      </c>
      <c r="AR5" s="23">
        <f>SUBTOTAL(109,T_Receive[w44])</f>
        <v>0</v>
      </c>
      <c r="AS5" s="23">
        <f>SUBTOTAL(109,T_Receive[w45])</f>
        <v>0</v>
      </c>
      <c r="AT5" s="23">
        <f>SUBTOTAL(109,T_Receive[w46])</f>
        <v>0</v>
      </c>
      <c r="AU5" s="23">
        <f>SUBTOTAL(109,T_Receive[w47])</f>
        <v>0</v>
      </c>
      <c r="AV5" s="23">
        <f>SUBTOTAL(109,T_Receive[Summary 09])</f>
        <v>0</v>
      </c>
      <c r="AW5" s="23">
        <f>SUBTOTAL(109,T_Receive[w48])</f>
        <v>0</v>
      </c>
      <c r="AX5" s="23">
        <f>SUBTOTAL(109,T_Receive[w49])</f>
        <v>0</v>
      </c>
      <c r="AY5" s="23">
        <f>SUBTOTAL(109,T_Receive[w50])</f>
        <v>0</v>
      </c>
      <c r="AZ5" s="23">
        <f>SUBTOTAL(109,T_Receive[w51])</f>
        <v>0</v>
      </c>
      <c r="BA5" s="23">
        <f>SUBTOTAL(109,T_Receive[Summary 10])</f>
        <v>0</v>
      </c>
      <c r="BB5" s="23">
        <f>SUBTOTAL(109,T_Receive[w52])</f>
        <v>0</v>
      </c>
      <c r="BC5" s="23">
        <f>SUBTOTAL(109,T_Receive[w01])</f>
        <v>0</v>
      </c>
      <c r="BD5" s="23">
        <f>SUBTOTAL(109,T_Receive[w02])</f>
        <v>0</v>
      </c>
      <c r="BE5" s="23">
        <f>SUBTOTAL(109,T_Receive[w03])</f>
        <v>0</v>
      </c>
      <c r="BF5" s="23">
        <f>SUBTOTAL(109,T_Receive[Summary 11])</f>
        <v>0</v>
      </c>
      <c r="BG5" s="23">
        <f>SUBTOTAL(109,T_Receive[w04])</f>
        <v>0</v>
      </c>
      <c r="BH5" s="23">
        <f>SUBTOTAL(109,T_Receive[w05])</f>
        <v>0</v>
      </c>
      <c r="BI5" s="23">
        <f>SUBTOTAL(109,T_Receive[w06])</f>
        <v>0</v>
      </c>
      <c r="BJ5" s="23">
        <f>SUBTOTAL(109,T_Receive[w07])</f>
        <v>0</v>
      </c>
      <c r="BK5" s="23">
        <f>SUBTOTAL(109,T_Receive[Summary 12])</f>
        <v>0</v>
      </c>
      <c r="BL5" s="23">
        <f>SUBTOTAL(109,T_Receive[w08])</f>
        <v>0</v>
      </c>
      <c r="BM5" s="23">
        <f>SUBTOTAL(109,T_Receive[w09])</f>
        <v>0</v>
      </c>
      <c r="BN5" s="23">
        <f>SUBTOTAL(109,T_Receive[w10])</f>
        <v>0</v>
      </c>
      <c r="BO5" s="23">
        <f>SUBTOTAL(109,T_Receive[w11])</f>
        <v>0</v>
      </c>
      <c r="BP5" s="23">
        <f>SUBTOTAL(109,T_Receive[w12''])</f>
        <v>0</v>
      </c>
    </row>
  </sheetData>
  <mergeCells count="25">
    <mergeCell ref="AW2:AZ2"/>
    <mergeCell ref="BB2:BE2"/>
    <mergeCell ref="BG2:BJ2"/>
    <mergeCell ref="BL2:BP2"/>
    <mergeCell ref="V2:Y2"/>
    <mergeCell ref="AA2:AE2"/>
    <mergeCell ref="AG2:AJ2"/>
    <mergeCell ref="AL2:AO2"/>
    <mergeCell ref="AQ2:AU2"/>
    <mergeCell ref="A1:A2"/>
    <mergeCell ref="BK1:BP1"/>
    <mergeCell ref="D1:I1"/>
    <mergeCell ref="J1:N1"/>
    <mergeCell ref="O1:T1"/>
    <mergeCell ref="U1:Y1"/>
    <mergeCell ref="Z1:AE1"/>
    <mergeCell ref="AF1:AJ1"/>
    <mergeCell ref="AK1:AO1"/>
    <mergeCell ref="AP1:AU1"/>
    <mergeCell ref="AV1:AZ1"/>
    <mergeCell ref="BA1:BE1"/>
    <mergeCell ref="BF1:BJ1"/>
    <mergeCell ref="E2:I2"/>
    <mergeCell ref="K2:N2"/>
    <mergeCell ref="P2:T2"/>
  </mergeCells>
  <phoneticPr fontId="1" type="noConversion"/>
  <dataValidations count="2">
    <dataValidation allowBlank="1" showInputMessage="1" showErrorMessage="1" error="محاز به انتخاب از مواردی که در لیست کشویی‌ست هستید" sqref="C4:D4 J4 BF4 AV4 AP4 AK4 AF4 Z4 U4 O4 BA4 BK4" xr:uid="{D930B734-13E8-4FA6-A507-6C37FCF19D16}"/>
    <dataValidation type="list" allowBlank="1" showInputMessage="1" showErrorMessage="1" sqref="B4" xr:uid="{4F3167C3-D202-4A72-9410-BC9CCDC0AF54}">
      <formula1>L_InputGroup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B4E2-D8F0-430F-83B8-F2CC47F935C5}">
  <sheetPr>
    <tabColor rgb="FFC1666B"/>
    <outlinePr summaryRight="0"/>
  </sheetPr>
  <dimension ref="A1:BQ5"/>
  <sheetViews>
    <sheetView showGridLines="0" rightToLeft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ColWidth="30.625" defaultRowHeight="18.75" outlineLevelCol="1" x14ac:dyDescent="0.45"/>
  <cols>
    <col min="1" max="2" width="20.625" style="7" customWidth="1"/>
    <col min="3" max="3" width="30.625" style="7"/>
    <col min="4" max="4" width="30.625" style="7" collapsed="1"/>
    <col min="5" max="9" width="30.625" style="7" hidden="1" customWidth="1" outlineLevel="1"/>
    <col min="10" max="10" width="30.625" style="7" collapsed="1"/>
    <col min="11" max="14" width="30.625" style="7" hidden="1" customWidth="1" outlineLevel="1"/>
    <col min="15" max="15" width="30.625" style="7" collapsed="1"/>
    <col min="16" max="20" width="30.625" style="7" hidden="1" customWidth="1" outlineLevel="1"/>
    <col min="21" max="21" width="30.625" style="7" collapsed="1"/>
    <col min="22" max="25" width="30.625" style="7" hidden="1" customWidth="1" outlineLevel="1"/>
    <col min="26" max="26" width="30.625" style="7" collapsed="1"/>
    <col min="27" max="31" width="30.625" style="7" hidden="1" customWidth="1" outlineLevel="1"/>
    <col min="32" max="32" width="30.625" style="7" collapsed="1"/>
    <col min="33" max="36" width="30.625" style="7" hidden="1" customWidth="1" outlineLevel="1"/>
    <col min="37" max="37" width="30.625" style="7" collapsed="1"/>
    <col min="38" max="41" width="30.625" style="7" hidden="1" customWidth="1" outlineLevel="1"/>
    <col min="42" max="42" width="30.625" style="7" collapsed="1"/>
    <col min="43" max="47" width="30.625" style="7" hidden="1" customWidth="1" outlineLevel="1"/>
    <col min="48" max="48" width="30.625" style="7" collapsed="1"/>
    <col min="49" max="52" width="30.625" style="7" hidden="1" customWidth="1" outlineLevel="1"/>
    <col min="53" max="53" width="30.625" style="7" collapsed="1"/>
    <col min="54" max="57" width="30.625" style="7" hidden="1" customWidth="1" outlineLevel="1"/>
    <col min="58" max="58" width="30.625" style="7" collapsed="1"/>
    <col min="59" max="62" width="30.625" style="7" hidden="1" customWidth="1" outlineLevel="1"/>
    <col min="63" max="63" width="30.625" style="7" collapsed="1"/>
    <col min="64" max="68" width="30.625" style="7" hidden="1" customWidth="1" outlineLevel="1"/>
    <col min="69" max="16384" width="30.625" style="7"/>
  </cols>
  <sheetData>
    <row r="1" spans="1:69" ht="6.95" customHeight="1" x14ac:dyDescent="0.45">
      <c r="A1" s="53" t="s">
        <v>139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49"/>
      <c r="P1" s="15"/>
      <c r="Q1" s="15"/>
      <c r="R1" s="15"/>
      <c r="S1" s="15"/>
      <c r="T1" s="15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0"/>
      <c r="AL1" s="60"/>
      <c r="AM1" s="60"/>
      <c r="AN1" s="60"/>
      <c r="AO1" s="60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</row>
    <row r="2" spans="1:69" s="29" customFormat="1" ht="30" customHeight="1" x14ac:dyDescent="0.2">
      <c r="A2" s="53"/>
      <c r="B2" s="27"/>
      <c r="D2" s="43" t="s">
        <v>4</v>
      </c>
      <c r="E2" s="63" t="s">
        <v>157</v>
      </c>
      <c r="F2" s="63"/>
      <c r="G2" s="63"/>
      <c r="H2" s="63"/>
      <c r="I2" s="63"/>
      <c r="J2" s="43" t="s">
        <v>5</v>
      </c>
      <c r="K2" s="59" t="s">
        <v>158</v>
      </c>
      <c r="L2" s="59"/>
      <c r="M2" s="59"/>
      <c r="N2" s="59"/>
      <c r="O2" s="43" t="s">
        <v>10</v>
      </c>
      <c r="P2" s="59" t="s">
        <v>167</v>
      </c>
      <c r="Q2" s="59"/>
      <c r="R2" s="59"/>
      <c r="S2" s="59"/>
      <c r="T2" s="59"/>
      <c r="U2" s="45" t="s">
        <v>11</v>
      </c>
      <c r="V2" s="59" t="s">
        <v>159</v>
      </c>
      <c r="W2" s="59"/>
      <c r="X2" s="59"/>
      <c r="Y2" s="59"/>
      <c r="Z2" s="45" t="s">
        <v>12</v>
      </c>
      <c r="AA2" s="59" t="s">
        <v>168</v>
      </c>
      <c r="AB2" s="59"/>
      <c r="AC2" s="59"/>
      <c r="AD2" s="59"/>
      <c r="AE2" s="59"/>
      <c r="AF2" s="45" t="s">
        <v>13</v>
      </c>
      <c r="AG2" s="59" t="s">
        <v>161</v>
      </c>
      <c r="AH2" s="59"/>
      <c r="AI2" s="59"/>
      <c r="AJ2" s="59"/>
      <c r="AK2" s="43" t="s">
        <v>14</v>
      </c>
      <c r="AL2" s="59" t="s">
        <v>169</v>
      </c>
      <c r="AM2" s="59"/>
      <c r="AN2" s="59"/>
      <c r="AO2" s="59"/>
      <c r="AP2" s="43" t="s">
        <v>15</v>
      </c>
      <c r="AQ2" s="59" t="s">
        <v>170</v>
      </c>
      <c r="AR2" s="59"/>
      <c r="AS2" s="59"/>
      <c r="AT2" s="59"/>
      <c r="AU2" s="59"/>
      <c r="AV2" s="43" t="s">
        <v>16</v>
      </c>
      <c r="AW2" s="59" t="s">
        <v>161</v>
      </c>
      <c r="AX2" s="59"/>
      <c r="AY2" s="59"/>
      <c r="AZ2" s="59"/>
      <c r="BA2" s="45" t="s">
        <v>17</v>
      </c>
      <c r="BB2" s="59" t="s">
        <v>158</v>
      </c>
      <c r="BC2" s="59"/>
      <c r="BD2" s="59"/>
      <c r="BE2" s="59"/>
      <c r="BF2" s="45" t="s">
        <v>18</v>
      </c>
      <c r="BG2" s="59" t="s">
        <v>171</v>
      </c>
      <c r="BH2" s="59"/>
      <c r="BI2" s="59"/>
      <c r="BJ2" s="59"/>
      <c r="BK2" s="45" t="s">
        <v>19</v>
      </c>
      <c r="BL2" s="59" t="s">
        <v>172</v>
      </c>
      <c r="BM2" s="59"/>
      <c r="BN2" s="59"/>
      <c r="BO2" s="59"/>
      <c r="BP2" s="59"/>
      <c r="BQ2" s="41"/>
    </row>
    <row r="3" spans="1:69" s="52" customFormat="1" ht="39.950000000000003" customHeight="1" x14ac:dyDescent="0.45">
      <c r="A3" s="50" t="s">
        <v>0</v>
      </c>
      <c r="B3" s="50" t="s">
        <v>145</v>
      </c>
      <c r="C3" s="50" t="s">
        <v>2</v>
      </c>
      <c r="D3" s="51" t="s">
        <v>6</v>
      </c>
      <c r="E3" s="50" t="s">
        <v>8</v>
      </c>
      <c r="F3" s="50" t="s">
        <v>33</v>
      </c>
      <c r="G3" s="50" t="s">
        <v>34</v>
      </c>
      <c r="H3" s="50" t="s">
        <v>35</v>
      </c>
      <c r="I3" s="50" t="s">
        <v>36</v>
      </c>
      <c r="J3" s="51" t="s">
        <v>7</v>
      </c>
      <c r="K3" s="50" t="s">
        <v>37</v>
      </c>
      <c r="L3" s="50" t="s">
        <v>38</v>
      </c>
      <c r="M3" s="50" t="s">
        <v>39</v>
      </c>
      <c r="N3" s="50" t="s">
        <v>40</v>
      </c>
      <c r="O3" s="51" t="s">
        <v>20</v>
      </c>
      <c r="P3" s="50" t="s">
        <v>41</v>
      </c>
      <c r="Q3" s="50" t="s">
        <v>42</v>
      </c>
      <c r="R3" s="50" t="s">
        <v>43</v>
      </c>
      <c r="S3" s="50" t="s">
        <v>9</v>
      </c>
      <c r="T3" s="50" t="s">
        <v>44</v>
      </c>
      <c r="U3" s="51" t="s">
        <v>21</v>
      </c>
      <c r="V3" s="50" t="s">
        <v>45</v>
      </c>
      <c r="W3" s="50" t="s">
        <v>30</v>
      </c>
      <c r="X3" s="50" t="s">
        <v>46</v>
      </c>
      <c r="Y3" s="50" t="s">
        <v>47</v>
      </c>
      <c r="Z3" s="51" t="s">
        <v>22</v>
      </c>
      <c r="AA3" s="50" t="s">
        <v>48</v>
      </c>
      <c r="AB3" s="50" t="s">
        <v>49</v>
      </c>
      <c r="AC3" s="50" t="s">
        <v>50</v>
      </c>
      <c r="AD3" s="50" t="s">
        <v>51</v>
      </c>
      <c r="AE3" s="50" t="s">
        <v>52</v>
      </c>
      <c r="AF3" s="51" t="s">
        <v>23</v>
      </c>
      <c r="AG3" s="50" t="s">
        <v>53</v>
      </c>
      <c r="AH3" s="50" t="s">
        <v>54</v>
      </c>
      <c r="AI3" s="50" t="s">
        <v>55</v>
      </c>
      <c r="AJ3" s="50" t="s">
        <v>56</v>
      </c>
      <c r="AK3" s="51" t="s">
        <v>24</v>
      </c>
      <c r="AL3" s="50" t="s">
        <v>57</v>
      </c>
      <c r="AM3" s="50" t="s">
        <v>58</v>
      </c>
      <c r="AN3" s="50" t="s">
        <v>59</v>
      </c>
      <c r="AO3" s="50" t="s">
        <v>60</v>
      </c>
      <c r="AP3" s="51" t="s">
        <v>25</v>
      </c>
      <c r="AQ3" s="50" t="s">
        <v>61</v>
      </c>
      <c r="AR3" s="50" t="s">
        <v>62</v>
      </c>
      <c r="AS3" s="50" t="s">
        <v>63</v>
      </c>
      <c r="AT3" s="50" t="s">
        <v>64</v>
      </c>
      <c r="AU3" s="50" t="s">
        <v>65</v>
      </c>
      <c r="AV3" s="51" t="s">
        <v>26</v>
      </c>
      <c r="AW3" s="50" t="s">
        <v>66</v>
      </c>
      <c r="AX3" s="50" t="s">
        <v>67</v>
      </c>
      <c r="AY3" s="50" t="s">
        <v>68</v>
      </c>
      <c r="AZ3" s="50" t="s">
        <v>69</v>
      </c>
      <c r="BA3" s="51" t="s">
        <v>27</v>
      </c>
      <c r="BB3" s="50" t="s">
        <v>70</v>
      </c>
      <c r="BC3" s="50" t="s">
        <v>71</v>
      </c>
      <c r="BD3" s="50" t="s">
        <v>72</v>
      </c>
      <c r="BE3" s="50" t="s">
        <v>73</v>
      </c>
      <c r="BF3" s="51" t="s">
        <v>28</v>
      </c>
      <c r="BG3" s="50" t="s">
        <v>74</v>
      </c>
      <c r="BH3" s="50" t="s">
        <v>75</v>
      </c>
      <c r="BI3" s="50" t="s">
        <v>76</v>
      </c>
      <c r="BJ3" s="50" t="s">
        <v>77</v>
      </c>
      <c r="BK3" s="51" t="s">
        <v>29</v>
      </c>
      <c r="BL3" s="50" t="s">
        <v>78</v>
      </c>
      <c r="BM3" s="50" t="s">
        <v>79</v>
      </c>
      <c r="BN3" s="50" t="s">
        <v>31</v>
      </c>
      <c r="BO3" s="50" t="s">
        <v>32</v>
      </c>
      <c r="BP3" s="50" t="s">
        <v>80</v>
      </c>
    </row>
    <row r="4" spans="1:69" x14ac:dyDescent="0.45">
      <c r="A4" s="16"/>
      <c r="B4" s="16"/>
      <c r="C4" s="17">
        <f>SUMIF(D$3:BP$3, "Summary*", D4:BP4)</f>
        <v>0</v>
      </c>
      <c r="D4" s="18">
        <f>SUM(T_Pay[[#This Row],[w12]:[w16]])</f>
        <v>0</v>
      </c>
      <c r="E4" s="19"/>
      <c r="F4" s="19"/>
      <c r="G4" s="19"/>
      <c r="H4" s="19"/>
      <c r="I4" s="19"/>
      <c r="J4" s="18">
        <f>SUM(T_Pay[[#This Row],[w17]:[w20]])</f>
        <v>0</v>
      </c>
      <c r="K4" s="19"/>
      <c r="L4" s="19"/>
      <c r="M4" s="19"/>
      <c r="N4" s="19"/>
      <c r="O4" s="18">
        <f>SUM(T_Pay[[#This Row],[w21]:[w25]])</f>
        <v>0</v>
      </c>
      <c r="P4" s="20"/>
      <c r="Q4" s="20"/>
      <c r="R4" s="20"/>
      <c r="S4" s="19"/>
      <c r="T4" s="19"/>
      <c r="U4" s="18">
        <f>SUM(T_Pay[[#This Row],[w26]:[w29]])</f>
        <v>0</v>
      </c>
      <c r="V4" s="19"/>
      <c r="W4" s="19"/>
      <c r="X4" s="19"/>
      <c r="Y4" s="19"/>
      <c r="Z4" s="18">
        <f>SUM(T_Pay[[#This Row],[w30]:[w34]])</f>
        <v>0</v>
      </c>
      <c r="AA4" s="19"/>
      <c r="AB4" s="19"/>
      <c r="AC4" s="19"/>
      <c r="AD4" s="19"/>
      <c r="AE4" s="19"/>
      <c r="AF4" s="18">
        <f>SUM(T_Pay[[#This Row],[w35]:[w38]])</f>
        <v>0</v>
      </c>
      <c r="AG4" s="19"/>
      <c r="AH4" s="19"/>
      <c r="AI4" s="19"/>
      <c r="AJ4" s="19"/>
      <c r="AK4" s="18">
        <f>SUM(T_Pay[[#This Row],[w39]:[w42]])</f>
        <v>0</v>
      </c>
      <c r="AL4" s="19"/>
      <c r="AM4" s="19"/>
      <c r="AN4" s="19"/>
      <c r="AO4" s="19"/>
      <c r="AP4" s="18">
        <f>SUM(T_Pay[[#This Row],[w43]:[w47]])</f>
        <v>0</v>
      </c>
      <c r="AQ4" s="19"/>
      <c r="AR4" s="19"/>
      <c r="AS4" s="19"/>
      <c r="AT4" s="19"/>
      <c r="AU4" s="19"/>
      <c r="AV4" s="18">
        <f>SUM(T_Pay[[#This Row],[w48]:[w51]])</f>
        <v>0</v>
      </c>
      <c r="AW4" s="19"/>
      <c r="AX4" s="19"/>
      <c r="AY4" s="19"/>
      <c r="AZ4" s="19"/>
      <c r="BA4" s="18">
        <f>SUM(T_Pay[[#This Row],[w52]:[w03]])</f>
        <v>0</v>
      </c>
      <c r="BB4" s="19"/>
      <c r="BC4" s="19"/>
      <c r="BD4" s="19"/>
      <c r="BE4" s="19"/>
      <c r="BF4" s="18">
        <f>SUM(T_Pay[[#This Row],[w04]:[w07]])</f>
        <v>0</v>
      </c>
      <c r="BG4" s="19"/>
      <c r="BH4" s="19"/>
      <c r="BI4" s="19"/>
      <c r="BJ4" s="19"/>
      <c r="BK4" s="18">
        <f>SUM(T_Pay[[#This Row],[w08]:[w12'']])</f>
        <v>0</v>
      </c>
      <c r="BL4" s="19"/>
      <c r="BM4" s="19"/>
      <c r="BN4" s="19"/>
      <c r="BO4" s="19"/>
      <c r="BP4" s="19"/>
    </row>
    <row r="5" spans="1:69" x14ac:dyDescent="0.45">
      <c r="A5" s="21" t="s">
        <v>88</v>
      </c>
      <c r="B5" s="21"/>
      <c r="C5" s="22">
        <f>SUBTOTAL(109,T_Pay[Amount])/10000000</f>
        <v>0</v>
      </c>
      <c r="D5" s="23">
        <f>SUBTOTAL(109,T_Pay[Summary 01])</f>
        <v>0</v>
      </c>
      <c r="E5" s="23">
        <f>SUBTOTAL(109,T_Pay[w12])</f>
        <v>0</v>
      </c>
      <c r="F5" s="23">
        <f>SUBTOTAL(109,T_Pay[w13])</f>
        <v>0</v>
      </c>
      <c r="G5" s="23">
        <f>SUBTOTAL(109,T_Pay[w14])</f>
        <v>0</v>
      </c>
      <c r="H5" s="23">
        <f>SUBTOTAL(109,T_Pay[w15])</f>
        <v>0</v>
      </c>
      <c r="I5" s="23">
        <f>SUBTOTAL(109,T_Pay[w16])</f>
        <v>0</v>
      </c>
      <c r="J5" s="23">
        <f>SUBTOTAL(109,T_Pay[Summary 02])</f>
        <v>0</v>
      </c>
      <c r="K5" s="23">
        <f>SUBTOTAL(109,T_Pay[w17])</f>
        <v>0</v>
      </c>
      <c r="L5" s="23">
        <f>SUBTOTAL(109,T_Pay[w18])</f>
        <v>0</v>
      </c>
      <c r="M5" s="23">
        <f>SUBTOTAL(109,T_Pay[w19])</f>
        <v>0</v>
      </c>
      <c r="N5" s="23">
        <f>SUBTOTAL(109,T_Pay[w20])</f>
        <v>0</v>
      </c>
      <c r="O5" s="23">
        <f>SUBTOTAL(109,T_Pay[Summary 03])</f>
        <v>0</v>
      </c>
      <c r="P5" s="23">
        <f>SUBTOTAL(109,T_Pay[w21])</f>
        <v>0</v>
      </c>
      <c r="Q5" s="23">
        <f>SUBTOTAL(109,T_Pay[w22])</f>
        <v>0</v>
      </c>
      <c r="R5" s="23">
        <f>SUBTOTAL(109,T_Pay[w23])</f>
        <v>0</v>
      </c>
      <c r="S5" s="23">
        <f>SUBTOTAL(109,T_Pay[w24])</f>
        <v>0</v>
      </c>
      <c r="T5" s="23">
        <f>SUBTOTAL(109,T_Pay[w25])</f>
        <v>0</v>
      </c>
      <c r="U5" s="23">
        <f>SUBTOTAL(109,T_Pay[Summary 04])</f>
        <v>0</v>
      </c>
      <c r="V5" s="23">
        <f>SUBTOTAL(109,T_Pay[w26])</f>
        <v>0</v>
      </c>
      <c r="W5" s="23">
        <f>SUBTOTAL(109,T_Pay[w27])</f>
        <v>0</v>
      </c>
      <c r="X5" s="23">
        <f>SUBTOTAL(109,T_Pay[w28])</f>
        <v>0</v>
      </c>
      <c r="Y5" s="23">
        <f>SUBTOTAL(109,T_Pay[w29])</f>
        <v>0</v>
      </c>
      <c r="Z5" s="23">
        <f>SUBTOTAL(109,T_Pay[Summary 05])</f>
        <v>0</v>
      </c>
      <c r="AA5" s="23">
        <f>SUBTOTAL(109,T_Pay[w30])</f>
        <v>0</v>
      </c>
      <c r="AB5" s="23">
        <f>SUBTOTAL(109,T_Pay[w31])</f>
        <v>0</v>
      </c>
      <c r="AC5" s="23">
        <f>SUBTOTAL(109,T_Pay[w32])</f>
        <v>0</v>
      </c>
      <c r="AD5" s="23">
        <f>SUBTOTAL(109,T_Pay[w33])</f>
        <v>0</v>
      </c>
      <c r="AE5" s="23">
        <f>SUBTOTAL(109,T_Pay[w34])</f>
        <v>0</v>
      </c>
      <c r="AF5" s="23">
        <f>SUBTOTAL(109,T_Pay[Summary 06])</f>
        <v>0</v>
      </c>
      <c r="AG5" s="23">
        <f>SUBTOTAL(109,T_Pay[w35])</f>
        <v>0</v>
      </c>
      <c r="AH5" s="23">
        <f>SUBTOTAL(109,T_Pay[w36])</f>
        <v>0</v>
      </c>
      <c r="AI5" s="23">
        <f>SUBTOTAL(109,T_Pay[w37])</f>
        <v>0</v>
      </c>
      <c r="AJ5" s="23">
        <f>SUBTOTAL(109,T_Pay[w38])</f>
        <v>0</v>
      </c>
      <c r="AK5" s="23">
        <f>SUBTOTAL(109,T_Pay[Summary 07])</f>
        <v>0</v>
      </c>
      <c r="AL5" s="23">
        <f>SUBTOTAL(109,T_Pay[w39])</f>
        <v>0</v>
      </c>
      <c r="AM5" s="23">
        <f>SUBTOTAL(109,T_Pay[w40])</f>
        <v>0</v>
      </c>
      <c r="AN5" s="23">
        <f>SUBTOTAL(109,T_Pay[w41])</f>
        <v>0</v>
      </c>
      <c r="AO5" s="23">
        <f>SUBTOTAL(109,T_Pay[w42])</f>
        <v>0</v>
      </c>
      <c r="AP5" s="23">
        <f>SUBTOTAL(109,T_Pay[Summary 08])</f>
        <v>0</v>
      </c>
      <c r="AQ5" s="23">
        <f>SUBTOTAL(109,T_Pay[w43])</f>
        <v>0</v>
      </c>
      <c r="AR5" s="23">
        <f>SUBTOTAL(109,T_Pay[w44])</f>
        <v>0</v>
      </c>
      <c r="AS5" s="23">
        <f>SUBTOTAL(109,T_Pay[w45])</f>
        <v>0</v>
      </c>
      <c r="AT5" s="23">
        <f>SUBTOTAL(109,T_Pay[w46])</f>
        <v>0</v>
      </c>
      <c r="AU5" s="23">
        <f>SUBTOTAL(109,T_Pay[w47])</f>
        <v>0</v>
      </c>
      <c r="AV5" s="23">
        <f>SUBTOTAL(109,T_Pay[Summary 09])</f>
        <v>0</v>
      </c>
      <c r="AW5" s="23">
        <f>SUBTOTAL(109,T_Pay[w48])</f>
        <v>0</v>
      </c>
      <c r="AX5" s="23">
        <f>SUBTOTAL(109,T_Pay[w49])</f>
        <v>0</v>
      </c>
      <c r="AY5" s="23">
        <f>SUBTOTAL(109,T_Pay[w50])</f>
        <v>0</v>
      </c>
      <c r="AZ5" s="23">
        <f>SUBTOTAL(109,T_Pay[w51])</f>
        <v>0</v>
      </c>
      <c r="BA5" s="23">
        <f>SUBTOTAL(109,T_Pay[Summary 10])</f>
        <v>0</v>
      </c>
      <c r="BB5" s="23">
        <f>SUBTOTAL(109,T_Pay[w52])</f>
        <v>0</v>
      </c>
      <c r="BC5" s="23">
        <f>SUBTOTAL(109,T_Pay[w01])</f>
        <v>0</v>
      </c>
      <c r="BD5" s="23">
        <f>SUBTOTAL(109,T_Pay[w02])</f>
        <v>0</v>
      </c>
      <c r="BE5" s="23">
        <f>SUBTOTAL(109,T_Pay[w03])</f>
        <v>0</v>
      </c>
      <c r="BF5" s="23">
        <f>SUBTOTAL(109,T_Pay[Summary 11])</f>
        <v>0</v>
      </c>
      <c r="BG5" s="23">
        <f>SUBTOTAL(109,T_Pay[w04])</f>
        <v>0</v>
      </c>
      <c r="BH5" s="23">
        <f>SUBTOTAL(109,T_Pay[w05])</f>
        <v>0</v>
      </c>
      <c r="BI5" s="23">
        <f>SUBTOTAL(109,T_Pay[w06])</f>
        <v>0</v>
      </c>
      <c r="BJ5" s="23">
        <f>SUBTOTAL(109,T_Pay[w07])</f>
        <v>0</v>
      </c>
      <c r="BK5" s="23">
        <f>SUBTOTAL(109,T_Pay[Summary 12])</f>
        <v>0</v>
      </c>
      <c r="BL5" s="23">
        <f>SUBTOTAL(109,T_Pay[w08])</f>
        <v>0</v>
      </c>
      <c r="BM5" s="23">
        <f>SUBTOTAL(109,T_Pay[w09])</f>
        <v>0</v>
      </c>
      <c r="BN5" s="23">
        <f>SUBTOTAL(109,T_Pay[w10])</f>
        <v>0</v>
      </c>
      <c r="BO5" s="23">
        <f>SUBTOTAL(109,T_Pay[w11])</f>
        <v>0</v>
      </c>
      <c r="BP5" s="23">
        <f>SUBTOTAL(109,T_Pay[w12''])</f>
        <v>0</v>
      </c>
    </row>
  </sheetData>
  <mergeCells count="24">
    <mergeCell ref="AP1:AU1"/>
    <mergeCell ref="AV1:AZ1"/>
    <mergeCell ref="BA1:BE1"/>
    <mergeCell ref="BF1:BJ1"/>
    <mergeCell ref="BK1:BP1"/>
    <mergeCell ref="A1:A2"/>
    <mergeCell ref="AK1:AO1"/>
    <mergeCell ref="J1:N1"/>
    <mergeCell ref="D1:I1"/>
    <mergeCell ref="U1:Y1"/>
    <mergeCell ref="Z1:AE1"/>
    <mergeCell ref="AF1:AJ1"/>
    <mergeCell ref="E2:I2"/>
    <mergeCell ref="K2:N2"/>
    <mergeCell ref="P2:T2"/>
    <mergeCell ref="V2:Y2"/>
    <mergeCell ref="AA2:AE2"/>
    <mergeCell ref="AG2:AJ2"/>
    <mergeCell ref="AL2:AO2"/>
    <mergeCell ref="AQ2:AU2"/>
    <mergeCell ref="AW2:AZ2"/>
    <mergeCell ref="BB2:BE2"/>
    <mergeCell ref="BG2:BJ2"/>
    <mergeCell ref="BL2:BP2"/>
  </mergeCells>
  <phoneticPr fontId="1" type="noConversion"/>
  <dataValidations count="2">
    <dataValidation allowBlank="1" showInputMessage="1" showErrorMessage="1" error="محاز به انتخاب از مواردی که در لیست کشویی‌ست هستید" sqref="C4:D4 J4 BF4 AV4 AP4 AK4 AF4 Z4 U4 O4 BA4 BK4" xr:uid="{4180E8D2-33A5-449F-98C1-E3B0B3ACADC6}"/>
    <dataValidation type="list" allowBlank="1" showInputMessage="1" showErrorMessage="1" sqref="B4" xr:uid="{64C504C0-266F-4795-BF89-3E7F859EA605}">
      <formula1>L_OutputGroup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E9D6-2CFF-4D6C-87D5-612194E8EF5A}">
  <sheetPr>
    <tabColor rgb="FFB0C4B1"/>
    <outlinePr summaryRight="0"/>
  </sheetPr>
  <dimension ref="A1:BQ5"/>
  <sheetViews>
    <sheetView showGridLines="0" rightToLeft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ColWidth="30.625" defaultRowHeight="18.75" outlineLevelCol="1" x14ac:dyDescent="0.45"/>
  <cols>
    <col min="1" max="2" width="20.625" style="7" customWidth="1"/>
    <col min="3" max="3" width="30.625" style="7"/>
    <col min="4" max="4" width="30.625" style="7" collapsed="1"/>
    <col min="5" max="9" width="30.625" style="7" hidden="1" customWidth="1" outlineLevel="1"/>
    <col min="10" max="10" width="30.625" style="7" collapsed="1"/>
    <col min="11" max="14" width="0" style="7" hidden="1" customWidth="1" outlineLevel="1"/>
    <col min="15" max="15" width="30.625" style="7" collapsed="1"/>
    <col min="16" max="20" width="30.625" style="7" hidden="1" customWidth="1" outlineLevel="1"/>
    <col min="21" max="21" width="30.625" style="7" collapsed="1"/>
    <col min="22" max="25" width="0" style="7" hidden="1" customWidth="1" outlineLevel="1"/>
    <col min="26" max="26" width="30.625" style="7" collapsed="1"/>
    <col min="27" max="31" width="0" style="7" hidden="1" customWidth="1" outlineLevel="1"/>
    <col min="32" max="32" width="30.625" style="7" collapsed="1"/>
    <col min="33" max="36" width="0" style="7" hidden="1" customWidth="1" outlineLevel="1"/>
    <col min="37" max="37" width="30.625" style="7" collapsed="1"/>
    <col min="38" max="41" width="0" style="7" hidden="1" customWidth="1" outlineLevel="1"/>
    <col min="42" max="42" width="30.625" style="7" collapsed="1"/>
    <col min="43" max="47" width="0" style="7" hidden="1" customWidth="1" outlineLevel="1"/>
    <col min="48" max="48" width="30.625" style="7" collapsed="1"/>
    <col min="49" max="52" width="0" style="7" hidden="1" customWidth="1" outlineLevel="1"/>
    <col min="53" max="53" width="30.625" style="7" collapsed="1"/>
    <col min="54" max="57" width="0" style="7" hidden="1" customWidth="1" outlineLevel="1"/>
    <col min="58" max="58" width="30.625" style="7" collapsed="1"/>
    <col min="59" max="62" width="0" style="7" hidden="1" customWidth="1" outlineLevel="1"/>
    <col min="63" max="63" width="30.625" style="7" collapsed="1"/>
    <col min="64" max="68" width="30.625" style="7" hidden="1" customWidth="1" outlineLevel="1"/>
    <col min="69" max="16384" width="30.625" style="7"/>
  </cols>
  <sheetData>
    <row r="1" spans="1:69" ht="6.95" customHeight="1" x14ac:dyDescent="0.45">
      <c r="A1" s="53" t="s">
        <v>140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6"/>
      <c r="AL1" s="56"/>
      <c r="AM1" s="56"/>
      <c r="AN1" s="56"/>
      <c r="AO1" s="56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</row>
    <row r="2" spans="1:69" s="28" customFormat="1" ht="30" customHeight="1" x14ac:dyDescent="0.2">
      <c r="A2" s="53"/>
      <c r="B2" s="27"/>
      <c r="D2" s="42" t="s">
        <v>4</v>
      </c>
      <c r="E2" s="57" t="s">
        <v>157</v>
      </c>
      <c r="F2" s="57"/>
      <c r="G2" s="57"/>
      <c r="H2" s="57"/>
      <c r="I2" s="57"/>
      <c r="J2" s="42" t="s">
        <v>5</v>
      </c>
      <c r="K2" s="58" t="s">
        <v>158</v>
      </c>
      <c r="L2" s="58"/>
      <c r="M2" s="58"/>
      <c r="N2" s="58"/>
      <c r="O2" s="42" t="s">
        <v>10</v>
      </c>
      <c r="P2" s="58" t="s">
        <v>165</v>
      </c>
      <c r="Q2" s="58"/>
      <c r="R2" s="58"/>
      <c r="S2" s="58"/>
      <c r="T2" s="58"/>
      <c r="U2" s="44" t="s">
        <v>11</v>
      </c>
      <c r="V2" s="58" t="s">
        <v>159</v>
      </c>
      <c r="W2" s="58"/>
      <c r="X2" s="58"/>
      <c r="Y2" s="58"/>
      <c r="Z2" s="44" t="s">
        <v>12</v>
      </c>
      <c r="AA2" s="58" t="s">
        <v>160</v>
      </c>
      <c r="AB2" s="58"/>
      <c r="AC2" s="58"/>
      <c r="AD2" s="58"/>
      <c r="AE2" s="58"/>
      <c r="AF2" s="44" t="s">
        <v>13</v>
      </c>
      <c r="AG2" s="58" t="s">
        <v>161</v>
      </c>
      <c r="AH2" s="58"/>
      <c r="AI2" s="58"/>
      <c r="AJ2" s="58"/>
      <c r="AK2" s="42" t="s">
        <v>14</v>
      </c>
      <c r="AL2" s="58" t="s">
        <v>162</v>
      </c>
      <c r="AM2" s="58"/>
      <c r="AN2" s="58"/>
      <c r="AO2" s="58"/>
      <c r="AP2" s="42" t="s">
        <v>15</v>
      </c>
      <c r="AQ2" s="58" t="s">
        <v>166</v>
      </c>
      <c r="AR2" s="58"/>
      <c r="AS2" s="58"/>
      <c r="AT2" s="58"/>
      <c r="AU2" s="58"/>
      <c r="AV2" s="42" t="s">
        <v>16</v>
      </c>
      <c r="AW2" s="58" t="s">
        <v>161</v>
      </c>
      <c r="AX2" s="58"/>
      <c r="AY2" s="58"/>
      <c r="AZ2" s="58"/>
      <c r="BA2" s="44" t="s">
        <v>17</v>
      </c>
      <c r="BB2" s="58" t="s">
        <v>158</v>
      </c>
      <c r="BC2" s="58"/>
      <c r="BD2" s="58"/>
      <c r="BE2" s="58"/>
      <c r="BF2" s="44" t="s">
        <v>18</v>
      </c>
      <c r="BG2" s="58" t="s">
        <v>163</v>
      </c>
      <c r="BH2" s="58"/>
      <c r="BI2" s="58"/>
      <c r="BJ2" s="58"/>
      <c r="BK2" s="44" t="s">
        <v>19</v>
      </c>
      <c r="BL2" s="58" t="s">
        <v>164</v>
      </c>
      <c r="BM2" s="58"/>
      <c r="BN2" s="58"/>
      <c r="BO2" s="58"/>
      <c r="BP2" s="58"/>
      <c r="BQ2" s="41"/>
    </row>
    <row r="3" spans="1:69" s="26" customFormat="1" ht="39.950000000000003" customHeight="1" x14ac:dyDescent="0.45">
      <c r="A3" s="24" t="s">
        <v>0</v>
      </c>
      <c r="B3" s="24" t="s">
        <v>145</v>
      </c>
      <c r="C3" s="24" t="s">
        <v>2</v>
      </c>
      <c r="D3" s="25" t="s">
        <v>6</v>
      </c>
      <c r="E3" s="24" t="s">
        <v>8</v>
      </c>
      <c r="F3" s="24" t="s">
        <v>33</v>
      </c>
      <c r="G3" s="24" t="s">
        <v>34</v>
      </c>
      <c r="H3" s="24" t="s">
        <v>35</v>
      </c>
      <c r="I3" s="24" t="s">
        <v>36</v>
      </c>
      <c r="J3" s="25" t="s">
        <v>7</v>
      </c>
      <c r="K3" s="24" t="s">
        <v>37</v>
      </c>
      <c r="L3" s="24" t="s">
        <v>38</v>
      </c>
      <c r="M3" s="24" t="s">
        <v>39</v>
      </c>
      <c r="N3" s="24" t="s">
        <v>40</v>
      </c>
      <c r="O3" s="25" t="s">
        <v>20</v>
      </c>
      <c r="P3" s="24" t="s">
        <v>41</v>
      </c>
      <c r="Q3" s="24" t="s">
        <v>42</v>
      </c>
      <c r="R3" s="24" t="s">
        <v>43</v>
      </c>
      <c r="S3" s="24" t="s">
        <v>9</v>
      </c>
      <c r="T3" s="24" t="s">
        <v>44</v>
      </c>
      <c r="U3" s="25" t="s">
        <v>21</v>
      </c>
      <c r="V3" s="24" t="s">
        <v>45</v>
      </c>
      <c r="W3" s="24" t="s">
        <v>30</v>
      </c>
      <c r="X3" s="24" t="s">
        <v>46</v>
      </c>
      <c r="Y3" s="24" t="s">
        <v>47</v>
      </c>
      <c r="Z3" s="25" t="s">
        <v>22</v>
      </c>
      <c r="AA3" s="24" t="s">
        <v>48</v>
      </c>
      <c r="AB3" s="24" t="s">
        <v>49</v>
      </c>
      <c r="AC3" s="24" t="s">
        <v>50</v>
      </c>
      <c r="AD3" s="24" t="s">
        <v>51</v>
      </c>
      <c r="AE3" s="24" t="s">
        <v>52</v>
      </c>
      <c r="AF3" s="25" t="s">
        <v>23</v>
      </c>
      <c r="AG3" s="24" t="s">
        <v>53</v>
      </c>
      <c r="AH3" s="24" t="s">
        <v>54</v>
      </c>
      <c r="AI3" s="24" t="s">
        <v>55</v>
      </c>
      <c r="AJ3" s="24" t="s">
        <v>56</v>
      </c>
      <c r="AK3" s="25" t="s">
        <v>24</v>
      </c>
      <c r="AL3" s="24" t="s">
        <v>57</v>
      </c>
      <c r="AM3" s="24" t="s">
        <v>58</v>
      </c>
      <c r="AN3" s="24" t="s">
        <v>59</v>
      </c>
      <c r="AO3" s="24" t="s">
        <v>60</v>
      </c>
      <c r="AP3" s="25" t="s">
        <v>25</v>
      </c>
      <c r="AQ3" s="24" t="s">
        <v>61</v>
      </c>
      <c r="AR3" s="24" t="s">
        <v>62</v>
      </c>
      <c r="AS3" s="24" t="s">
        <v>63</v>
      </c>
      <c r="AT3" s="24" t="s">
        <v>64</v>
      </c>
      <c r="AU3" s="24" t="s">
        <v>65</v>
      </c>
      <c r="AV3" s="25" t="s">
        <v>26</v>
      </c>
      <c r="AW3" s="24" t="s">
        <v>66</v>
      </c>
      <c r="AX3" s="24" t="s">
        <v>67</v>
      </c>
      <c r="AY3" s="24" t="s">
        <v>68</v>
      </c>
      <c r="AZ3" s="24" t="s">
        <v>69</v>
      </c>
      <c r="BA3" s="25" t="s">
        <v>27</v>
      </c>
      <c r="BB3" s="24" t="s">
        <v>70</v>
      </c>
      <c r="BC3" s="24" t="s">
        <v>71</v>
      </c>
      <c r="BD3" s="24" t="s">
        <v>72</v>
      </c>
      <c r="BE3" s="24" t="s">
        <v>73</v>
      </c>
      <c r="BF3" s="25" t="s">
        <v>28</v>
      </c>
      <c r="BG3" s="24" t="s">
        <v>74</v>
      </c>
      <c r="BH3" s="24" t="s">
        <v>75</v>
      </c>
      <c r="BI3" s="24" t="s">
        <v>76</v>
      </c>
      <c r="BJ3" s="24" t="s">
        <v>77</v>
      </c>
      <c r="BK3" s="25" t="s">
        <v>29</v>
      </c>
      <c r="BL3" s="24" t="s">
        <v>78</v>
      </c>
      <c r="BM3" s="24" t="s">
        <v>79</v>
      </c>
      <c r="BN3" s="24" t="s">
        <v>31</v>
      </c>
      <c r="BO3" s="24" t="s">
        <v>32</v>
      </c>
      <c r="BP3" s="24" t="s">
        <v>80</v>
      </c>
    </row>
    <row r="4" spans="1:69" x14ac:dyDescent="0.45">
      <c r="A4" s="16"/>
      <c r="B4" s="16"/>
      <c r="C4" s="17">
        <f>SUMIF(D$3:BP$3, "Summary*", D4:BP4)</f>
        <v>0</v>
      </c>
      <c r="D4" s="18">
        <f>SUM(T_ReceiveForecast[[#This Row],[w12]:[w16]])</f>
        <v>0</v>
      </c>
      <c r="E4" s="19"/>
      <c r="F4" s="19"/>
      <c r="G4" s="19"/>
      <c r="H4" s="19"/>
      <c r="I4" s="19"/>
      <c r="J4" s="18">
        <f>SUM(T_ReceiveForecast[[#This Row],[w17]:[w20]])</f>
        <v>0</v>
      </c>
      <c r="K4" s="19"/>
      <c r="L4" s="19"/>
      <c r="M4" s="19"/>
      <c r="N4" s="19"/>
      <c r="O4" s="18">
        <f>SUM(T_ReceiveForecast[[#This Row],[w21]:[w25]])</f>
        <v>0</v>
      </c>
      <c r="P4" s="20"/>
      <c r="Q4" s="20"/>
      <c r="R4" s="20"/>
      <c r="S4" s="19"/>
      <c r="T4" s="19"/>
      <c r="U4" s="18">
        <f>SUM(T_ReceiveForecast[[#This Row],[w26]:[w29]])</f>
        <v>0</v>
      </c>
      <c r="V4" s="19"/>
      <c r="W4" s="19"/>
      <c r="X4" s="19"/>
      <c r="Y4" s="19"/>
      <c r="Z4" s="18">
        <f>SUM(T_ReceiveForecast[[#This Row],[w30]:[w34]])</f>
        <v>0</v>
      </c>
      <c r="AA4" s="19"/>
      <c r="AB4" s="19"/>
      <c r="AC4" s="19"/>
      <c r="AD4" s="19"/>
      <c r="AE4" s="19"/>
      <c r="AF4" s="18">
        <f>SUM(T_ReceiveForecast[[#This Row],[w35]:[w38]])</f>
        <v>0</v>
      </c>
      <c r="AG4" s="19"/>
      <c r="AH4" s="19"/>
      <c r="AI4" s="19"/>
      <c r="AJ4" s="19"/>
      <c r="AK4" s="18">
        <f>SUM(T_ReceiveForecast[[#This Row],[w39]:[w42]])</f>
        <v>0</v>
      </c>
      <c r="AL4" s="19"/>
      <c r="AM4" s="19"/>
      <c r="AN4" s="19"/>
      <c r="AO4" s="19"/>
      <c r="AP4" s="18">
        <f>SUM(T_ReceiveForecast[[#This Row],[w43]:[w47]])</f>
        <v>0</v>
      </c>
      <c r="AQ4" s="19"/>
      <c r="AR4" s="19"/>
      <c r="AS4" s="19"/>
      <c r="AT4" s="19"/>
      <c r="AU4" s="19"/>
      <c r="AV4" s="18">
        <f>SUM(T_ReceiveForecast[[#This Row],[w48]:[w51]])</f>
        <v>0</v>
      </c>
      <c r="AW4" s="19"/>
      <c r="AX4" s="19"/>
      <c r="AY4" s="19"/>
      <c r="AZ4" s="19"/>
      <c r="BA4" s="18">
        <f>SUM(T_ReceiveForecast[[#This Row],[w52]:[w03]])</f>
        <v>0</v>
      </c>
      <c r="BB4" s="19"/>
      <c r="BC4" s="19"/>
      <c r="BD4" s="19"/>
      <c r="BE4" s="19"/>
      <c r="BF4" s="18">
        <f>SUM(T_ReceiveForecast[[#This Row],[w04]:[w07]])</f>
        <v>0</v>
      </c>
      <c r="BG4" s="19"/>
      <c r="BH4" s="19"/>
      <c r="BI4" s="19"/>
      <c r="BJ4" s="19"/>
      <c r="BK4" s="18">
        <f>SUM(T_ReceiveForecast[[#This Row],[w08]:[w12'']])</f>
        <v>0</v>
      </c>
      <c r="BL4" s="19"/>
      <c r="BM4" s="19"/>
      <c r="BN4" s="19"/>
      <c r="BO4" s="19"/>
      <c r="BP4" s="19"/>
    </row>
    <row r="5" spans="1:69" x14ac:dyDescent="0.45">
      <c r="A5" s="21" t="s">
        <v>88</v>
      </c>
      <c r="B5" s="21"/>
      <c r="C5" s="22">
        <f>SUBTOTAL(109,T_ReceiveForecast[Amount])/10000000</f>
        <v>0</v>
      </c>
      <c r="D5" s="23">
        <f>SUBTOTAL(109,T_ReceiveForecast[Summary 01])</f>
        <v>0</v>
      </c>
      <c r="E5" s="23">
        <f>SUBTOTAL(109,T_ReceiveForecast[w12])</f>
        <v>0</v>
      </c>
      <c r="F5" s="23">
        <f>SUBTOTAL(109,T_ReceiveForecast[w13])</f>
        <v>0</v>
      </c>
      <c r="G5" s="23">
        <f>SUBTOTAL(109,T_ReceiveForecast[w14])</f>
        <v>0</v>
      </c>
      <c r="H5" s="23">
        <f>SUBTOTAL(109,T_ReceiveForecast[w15])</f>
        <v>0</v>
      </c>
      <c r="I5" s="23">
        <f>SUBTOTAL(109,T_ReceiveForecast[w16])</f>
        <v>0</v>
      </c>
      <c r="J5" s="23">
        <f>SUBTOTAL(109,T_ReceiveForecast[Summary 02])</f>
        <v>0</v>
      </c>
      <c r="K5" s="23">
        <f>SUBTOTAL(109,T_ReceiveForecast[w17])</f>
        <v>0</v>
      </c>
      <c r="L5" s="23">
        <f>SUBTOTAL(109,T_ReceiveForecast[w18])</f>
        <v>0</v>
      </c>
      <c r="M5" s="23">
        <f>SUBTOTAL(109,T_ReceiveForecast[w19])</f>
        <v>0</v>
      </c>
      <c r="N5" s="23">
        <f>SUBTOTAL(109,T_ReceiveForecast[w20])</f>
        <v>0</v>
      </c>
      <c r="O5" s="23">
        <f>SUBTOTAL(109,T_ReceiveForecast[Summary 03])</f>
        <v>0</v>
      </c>
      <c r="P5" s="23">
        <f>SUBTOTAL(109,T_ReceiveForecast[w21])</f>
        <v>0</v>
      </c>
      <c r="Q5" s="23">
        <f>SUBTOTAL(109,T_ReceiveForecast[w22])</f>
        <v>0</v>
      </c>
      <c r="R5" s="23">
        <f>SUBTOTAL(109,T_ReceiveForecast[w23])</f>
        <v>0</v>
      </c>
      <c r="S5" s="23">
        <f>SUBTOTAL(109,T_ReceiveForecast[w24])</f>
        <v>0</v>
      </c>
      <c r="T5" s="23">
        <f>SUBTOTAL(109,T_ReceiveForecast[w25])</f>
        <v>0</v>
      </c>
      <c r="U5" s="23">
        <f>SUBTOTAL(109,T_ReceiveForecast[Summary 04])</f>
        <v>0</v>
      </c>
      <c r="V5" s="23">
        <f>SUBTOTAL(109,T_ReceiveForecast[w26])</f>
        <v>0</v>
      </c>
      <c r="W5" s="23">
        <f>SUBTOTAL(109,T_ReceiveForecast[w27])</f>
        <v>0</v>
      </c>
      <c r="X5" s="23">
        <f>SUBTOTAL(109,T_ReceiveForecast[w28])</f>
        <v>0</v>
      </c>
      <c r="Y5" s="23">
        <f>SUBTOTAL(109,T_ReceiveForecast[w29])</f>
        <v>0</v>
      </c>
      <c r="Z5" s="23">
        <f>SUBTOTAL(109,T_ReceiveForecast[Summary 05])</f>
        <v>0</v>
      </c>
      <c r="AA5" s="23">
        <f>SUBTOTAL(109,T_ReceiveForecast[w30])</f>
        <v>0</v>
      </c>
      <c r="AB5" s="23">
        <f>SUBTOTAL(109,T_ReceiveForecast[w31])</f>
        <v>0</v>
      </c>
      <c r="AC5" s="23">
        <f>SUBTOTAL(109,T_ReceiveForecast[w32])</f>
        <v>0</v>
      </c>
      <c r="AD5" s="23">
        <f>SUBTOTAL(109,T_ReceiveForecast[w33])</f>
        <v>0</v>
      </c>
      <c r="AE5" s="23">
        <f>SUBTOTAL(109,T_ReceiveForecast[w34])</f>
        <v>0</v>
      </c>
      <c r="AF5" s="23">
        <f>SUBTOTAL(109,T_ReceiveForecast[Summary 06])</f>
        <v>0</v>
      </c>
      <c r="AG5" s="23">
        <f>SUBTOTAL(109,T_ReceiveForecast[w35])</f>
        <v>0</v>
      </c>
      <c r="AH5" s="23">
        <f>SUBTOTAL(109,T_ReceiveForecast[w36])</f>
        <v>0</v>
      </c>
      <c r="AI5" s="23">
        <f>SUBTOTAL(109,T_ReceiveForecast[w37])</f>
        <v>0</v>
      </c>
      <c r="AJ5" s="23">
        <f>SUBTOTAL(109,T_ReceiveForecast[w38])</f>
        <v>0</v>
      </c>
      <c r="AK5" s="23">
        <f>SUBTOTAL(109,T_ReceiveForecast[Summary 07])</f>
        <v>0</v>
      </c>
      <c r="AL5" s="23">
        <f>SUBTOTAL(109,T_ReceiveForecast[w39])</f>
        <v>0</v>
      </c>
      <c r="AM5" s="23">
        <f>SUBTOTAL(109,T_ReceiveForecast[w40])</f>
        <v>0</v>
      </c>
      <c r="AN5" s="23">
        <f>SUBTOTAL(109,T_ReceiveForecast[w41])</f>
        <v>0</v>
      </c>
      <c r="AO5" s="23">
        <f>SUBTOTAL(109,T_ReceiveForecast[w42])</f>
        <v>0</v>
      </c>
      <c r="AP5" s="23">
        <f>SUBTOTAL(109,T_ReceiveForecast[Summary 08])</f>
        <v>0</v>
      </c>
      <c r="AQ5" s="23">
        <f>SUBTOTAL(109,T_ReceiveForecast[w43])</f>
        <v>0</v>
      </c>
      <c r="AR5" s="23">
        <f>SUBTOTAL(109,T_ReceiveForecast[w44])</f>
        <v>0</v>
      </c>
      <c r="AS5" s="23">
        <f>SUBTOTAL(109,T_ReceiveForecast[w45])</f>
        <v>0</v>
      </c>
      <c r="AT5" s="23">
        <f>SUBTOTAL(109,T_ReceiveForecast[w46])</f>
        <v>0</v>
      </c>
      <c r="AU5" s="23">
        <f>SUBTOTAL(109,T_ReceiveForecast[w47])</f>
        <v>0</v>
      </c>
      <c r="AV5" s="23">
        <f>SUBTOTAL(109,T_ReceiveForecast[Summary 09])</f>
        <v>0</v>
      </c>
      <c r="AW5" s="23">
        <f>SUBTOTAL(109,T_ReceiveForecast[w48])</f>
        <v>0</v>
      </c>
      <c r="AX5" s="23">
        <f>SUBTOTAL(109,T_ReceiveForecast[w49])</f>
        <v>0</v>
      </c>
      <c r="AY5" s="23">
        <f>SUBTOTAL(109,T_ReceiveForecast[w50])</f>
        <v>0</v>
      </c>
      <c r="AZ5" s="23">
        <f>SUBTOTAL(109,T_ReceiveForecast[w51])</f>
        <v>0</v>
      </c>
      <c r="BA5" s="23">
        <f>SUBTOTAL(109,T_ReceiveForecast[Summary 10])</f>
        <v>0</v>
      </c>
      <c r="BB5" s="23">
        <f>SUBTOTAL(109,T_ReceiveForecast[w52])</f>
        <v>0</v>
      </c>
      <c r="BC5" s="23">
        <f>SUBTOTAL(109,T_ReceiveForecast[w01])</f>
        <v>0</v>
      </c>
      <c r="BD5" s="23">
        <f>SUBTOTAL(109,T_ReceiveForecast[w02])</f>
        <v>0</v>
      </c>
      <c r="BE5" s="23">
        <f>SUBTOTAL(109,T_ReceiveForecast[w03])</f>
        <v>0</v>
      </c>
      <c r="BF5" s="23">
        <f>SUBTOTAL(109,T_ReceiveForecast[Summary 11])</f>
        <v>0</v>
      </c>
      <c r="BG5" s="23">
        <f>SUBTOTAL(109,T_ReceiveForecast[w04])</f>
        <v>0</v>
      </c>
      <c r="BH5" s="23">
        <f>SUBTOTAL(109,T_ReceiveForecast[w05])</f>
        <v>0</v>
      </c>
      <c r="BI5" s="23">
        <f>SUBTOTAL(109,T_ReceiveForecast[w06])</f>
        <v>0</v>
      </c>
      <c r="BJ5" s="23">
        <f>SUBTOTAL(109,T_ReceiveForecast[w07])</f>
        <v>0</v>
      </c>
      <c r="BK5" s="23">
        <f>SUBTOTAL(109,T_ReceiveForecast[Summary 12])</f>
        <v>0</v>
      </c>
      <c r="BL5" s="23">
        <f>SUBTOTAL(109,T_ReceiveForecast[w08])</f>
        <v>0</v>
      </c>
      <c r="BM5" s="23">
        <f>SUBTOTAL(109,T_ReceiveForecast[w09])</f>
        <v>0</v>
      </c>
      <c r="BN5" s="23">
        <f>SUBTOTAL(109,T_ReceiveForecast[w10])</f>
        <v>0</v>
      </c>
      <c r="BO5" s="23">
        <f>SUBTOTAL(109,T_ReceiveForecast[w11])</f>
        <v>0</v>
      </c>
      <c r="BP5" s="23">
        <f>SUBTOTAL(109,T_ReceiveForecast[w12''])</f>
        <v>0</v>
      </c>
    </row>
  </sheetData>
  <mergeCells count="25">
    <mergeCell ref="BK1:BP1"/>
    <mergeCell ref="AF1:AJ1"/>
    <mergeCell ref="AK1:AO1"/>
    <mergeCell ref="AP1:AU1"/>
    <mergeCell ref="AV1:AZ1"/>
    <mergeCell ref="BA1:BE1"/>
    <mergeCell ref="BF1:BJ1"/>
    <mergeCell ref="Z1:AE1"/>
    <mergeCell ref="A1:A2"/>
    <mergeCell ref="D1:I1"/>
    <mergeCell ref="J1:N1"/>
    <mergeCell ref="O1:T1"/>
    <mergeCell ref="U1:Y1"/>
    <mergeCell ref="E2:I2"/>
    <mergeCell ref="K2:N2"/>
    <mergeCell ref="P2:T2"/>
    <mergeCell ref="V2:Y2"/>
    <mergeCell ref="AA2:AE2"/>
    <mergeCell ref="BG2:BJ2"/>
    <mergeCell ref="BL2:BP2"/>
    <mergeCell ref="AG2:AJ2"/>
    <mergeCell ref="AL2:AO2"/>
    <mergeCell ref="AQ2:AU2"/>
    <mergeCell ref="AW2:AZ2"/>
    <mergeCell ref="BB2:BE2"/>
  </mergeCells>
  <dataValidations count="2">
    <dataValidation type="list" allowBlank="1" showInputMessage="1" showErrorMessage="1" sqref="B4" xr:uid="{25EA6505-7D33-47A3-B971-FF8D27E92D4D}">
      <formula1>L_InputGroup</formula1>
    </dataValidation>
    <dataValidation allowBlank="1" showInputMessage="1" showErrorMessage="1" error="محاز به انتخاب از مواردی که در لیست کشویی‌ست هستید" sqref="C4:D4 J4 BF4 AV4 AP4 AK4 AF4 Z4 U4 O4 BA4 BK4" xr:uid="{D10F5D68-1CE1-4C68-8D53-8A742B1C269C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07A9-1642-4259-8507-03848C1F2776}">
  <sheetPr>
    <tabColor rgb="FFEDAFB8"/>
    <outlinePr summaryRight="0"/>
  </sheetPr>
  <dimension ref="A1:BQ5"/>
  <sheetViews>
    <sheetView showGridLines="0" rightToLeft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ColWidth="30.625" defaultRowHeight="18.75" outlineLevelCol="1" x14ac:dyDescent="0.45"/>
  <cols>
    <col min="1" max="2" width="20.625" style="7" customWidth="1"/>
    <col min="3" max="3" width="30.625" style="7"/>
    <col min="4" max="4" width="30.625" style="7" collapsed="1"/>
    <col min="5" max="9" width="0" style="7" hidden="1" customWidth="1" outlineLevel="1"/>
    <col min="10" max="10" width="30.625" style="7"/>
    <col min="11" max="14" width="30.625" style="7" outlineLevel="1"/>
    <col min="15" max="15" width="30.625" style="7"/>
    <col min="16" max="20" width="30.625" style="7" outlineLevel="1"/>
    <col min="21" max="21" width="30.625" style="7" collapsed="1"/>
    <col min="22" max="25" width="30.625" style="7" outlineLevel="1"/>
    <col min="26" max="26" width="30.625" style="7" collapsed="1"/>
    <col min="27" max="31" width="30.625" style="7" outlineLevel="1"/>
    <col min="32" max="32" width="30.625" style="7" collapsed="1"/>
    <col min="33" max="36" width="30.625" style="7" outlineLevel="1"/>
    <col min="37" max="37" width="30.625" style="7" collapsed="1"/>
    <col min="38" max="41" width="30.625" style="7" outlineLevel="1"/>
    <col min="42" max="42" width="30.625" style="7" collapsed="1"/>
    <col min="43" max="47" width="30.625" style="7" outlineLevel="1"/>
    <col min="48" max="48" width="30.625" style="7"/>
    <col min="49" max="52" width="30.625" style="7" outlineLevel="1"/>
    <col min="53" max="53" width="30.625" style="7"/>
    <col min="54" max="57" width="30.625" style="7" outlineLevel="1"/>
    <col min="58" max="58" width="30.625" style="7"/>
    <col min="59" max="62" width="30.625" style="7" outlineLevel="1"/>
    <col min="63" max="63" width="30.625" style="7"/>
    <col min="64" max="68" width="30.625" style="7" outlineLevel="1"/>
    <col min="69" max="16384" width="30.625" style="7"/>
  </cols>
  <sheetData>
    <row r="1" spans="1:69" ht="6.95" customHeight="1" x14ac:dyDescent="0.45">
      <c r="A1" s="53" t="s">
        <v>139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49"/>
      <c r="P1" s="15"/>
      <c r="Q1" s="15"/>
      <c r="R1" s="15"/>
      <c r="S1" s="15"/>
      <c r="T1" s="15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0"/>
      <c r="AL1" s="60"/>
      <c r="AM1" s="60"/>
      <c r="AN1" s="60"/>
      <c r="AO1" s="60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</row>
    <row r="2" spans="1:69" s="29" customFormat="1" ht="30" customHeight="1" x14ac:dyDescent="0.2">
      <c r="A2" s="53"/>
      <c r="B2" s="27"/>
      <c r="D2" s="43" t="s">
        <v>4</v>
      </c>
      <c r="E2" s="63" t="s">
        <v>157</v>
      </c>
      <c r="F2" s="63"/>
      <c r="G2" s="63"/>
      <c r="H2" s="63"/>
      <c r="I2" s="63"/>
      <c r="J2" s="43" t="s">
        <v>5</v>
      </c>
      <c r="K2" s="59" t="s">
        <v>158</v>
      </c>
      <c r="L2" s="59"/>
      <c r="M2" s="59"/>
      <c r="N2" s="59"/>
      <c r="O2" s="43" t="s">
        <v>10</v>
      </c>
      <c r="P2" s="59" t="s">
        <v>167</v>
      </c>
      <c r="Q2" s="59"/>
      <c r="R2" s="59"/>
      <c r="S2" s="59"/>
      <c r="T2" s="59"/>
      <c r="U2" s="45" t="s">
        <v>11</v>
      </c>
      <c r="V2" s="59" t="s">
        <v>159</v>
      </c>
      <c r="W2" s="59"/>
      <c r="X2" s="59"/>
      <c r="Y2" s="59"/>
      <c r="Z2" s="45" t="s">
        <v>12</v>
      </c>
      <c r="AA2" s="59" t="s">
        <v>168</v>
      </c>
      <c r="AB2" s="59"/>
      <c r="AC2" s="59"/>
      <c r="AD2" s="59"/>
      <c r="AE2" s="59"/>
      <c r="AF2" s="45" t="s">
        <v>13</v>
      </c>
      <c r="AG2" s="59" t="s">
        <v>161</v>
      </c>
      <c r="AH2" s="59"/>
      <c r="AI2" s="59"/>
      <c r="AJ2" s="59"/>
      <c r="AK2" s="43" t="s">
        <v>14</v>
      </c>
      <c r="AL2" s="59" t="s">
        <v>169</v>
      </c>
      <c r="AM2" s="59"/>
      <c r="AN2" s="59"/>
      <c r="AO2" s="59"/>
      <c r="AP2" s="43" t="s">
        <v>15</v>
      </c>
      <c r="AQ2" s="59" t="s">
        <v>170</v>
      </c>
      <c r="AR2" s="59"/>
      <c r="AS2" s="59"/>
      <c r="AT2" s="59"/>
      <c r="AU2" s="59"/>
      <c r="AV2" s="43" t="s">
        <v>16</v>
      </c>
      <c r="AW2" s="59" t="s">
        <v>161</v>
      </c>
      <c r="AX2" s="59"/>
      <c r="AY2" s="59"/>
      <c r="AZ2" s="59"/>
      <c r="BA2" s="45" t="s">
        <v>17</v>
      </c>
      <c r="BB2" s="59" t="s">
        <v>158</v>
      </c>
      <c r="BC2" s="59"/>
      <c r="BD2" s="59"/>
      <c r="BE2" s="59"/>
      <c r="BF2" s="45" t="s">
        <v>18</v>
      </c>
      <c r="BG2" s="59" t="s">
        <v>171</v>
      </c>
      <c r="BH2" s="59"/>
      <c r="BI2" s="59"/>
      <c r="BJ2" s="59"/>
      <c r="BK2" s="45" t="s">
        <v>19</v>
      </c>
      <c r="BL2" s="59" t="s">
        <v>172</v>
      </c>
      <c r="BM2" s="59"/>
      <c r="BN2" s="59"/>
      <c r="BO2" s="59"/>
      <c r="BP2" s="59"/>
      <c r="BQ2" s="41"/>
    </row>
    <row r="3" spans="1:69" s="52" customFormat="1" ht="39.950000000000003" customHeight="1" x14ac:dyDescent="0.45">
      <c r="A3" s="50" t="s">
        <v>0</v>
      </c>
      <c r="B3" s="50" t="s">
        <v>145</v>
      </c>
      <c r="C3" s="50" t="s">
        <v>2</v>
      </c>
      <c r="D3" s="51" t="s">
        <v>6</v>
      </c>
      <c r="E3" s="50" t="s">
        <v>8</v>
      </c>
      <c r="F3" s="50" t="s">
        <v>33</v>
      </c>
      <c r="G3" s="50" t="s">
        <v>34</v>
      </c>
      <c r="H3" s="50" t="s">
        <v>35</v>
      </c>
      <c r="I3" s="50" t="s">
        <v>36</v>
      </c>
      <c r="J3" s="51" t="s">
        <v>7</v>
      </c>
      <c r="K3" s="50" t="s">
        <v>37</v>
      </c>
      <c r="L3" s="50" t="s">
        <v>38</v>
      </c>
      <c r="M3" s="50" t="s">
        <v>39</v>
      </c>
      <c r="N3" s="50" t="s">
        <v>40</v>
      </c>
      <c r="O3" s="51" t="s">
        <v>20</v>
      </c>
      <c r="P3" s="50" t="s">
        <v>41</v>
      </c>
      <c r="Q3" s="50" t="s">
        <v>42</v>
      </c>
      <c r="R3" s="50" t="s">
        <v>43</v>
      </c>
      <c r="S3" s="50" t="s">
        <v>9</v>
      </c>
      <c r="T3" s="50" t="s">
        <v>44</v>
      </c>
      <c r="U3" s="51" t="s">
        <v>21</v>
      </c>
      <c r="V3" s="50" t="s">
        <v>45</v>
      </c>
      <c r="W3" s="50" t="s">
        <v>30</v>
      </c>
      <c r="X3" s="50" t="s">
        <v>46</v>
      </c>
      <c r="Y3" s="50" t="s">
        <v>47</v>
      </c>
      <c r="Z3" s="51" t="s">
        <v>22</v>
      </c>
      <c r="AA3" s="50" t="s">
        <v>48</v>
      </c>
      <c r="AB3" s="50" t="s">
        <v>49</v>
      </c>
      <c r="AC3" s="50" t="s">
        <v>50</v>
      </c>
      <c r="AD3" s="50" t="s">
        <v>51</v>
      </c>
      <c r="AE3" s="50" t="s">
        <v>52</v>
      </c>
      <c r="AF3" s="51" t="s">
        <v>23</v>
      </c>
      <c r="AG3" s="50" t="s">
        <v>53</v>
      </c>
      <c r="AH3" s="50" t="s">
        <v>54</v>
      </c>
      <c r="AI3" s="50" t="s">
        <v>55</v>
      </c>
      <c r="AJ3" s="50" t="s">
        <v>56</v>
      </c>
      <c r="AK3" s="51" t="s">
        <v>24</v>
      </c>
      <c r="AL3" s="50" t="s">
        <v>57</v>
      </c>
      <c r="AM3" s="50" t="s">
        <v>58</v>
      </c>
      <c r="AN3" s="50" t="s">
        <v>59</v>
      </c>
      <c r="AO3" s="50" t="s">
        <v>60</v>
      </c>
      <c r="AP3" s="51" t="s">
        <v>25</v>
      </c>
      <c r="AQ3" s="50" t="s">
        <v>61</v>
      </c>
      <c r="AR3" s="50" t="s">
        <v>62</v>
      </c>
      <c r="AS3" s="50" t="s">
        <v>63</v>
      </c>
      <c r="AT3" s="50" t="s">
        <v>64</v>
      </c>
      <c r="AU3" s="50" t="s">
        <v>65</v>
      </c>
      <c r="AV3" s="51" t="s">
        <v>26</v>
      </c>
      <c r="AW3" s="50" t="s">
        <v>66</v>
      </c>
      <c r="AX3" s="50" t="s">
        <v>67</v>
      </c>
      <c r="AY3" s="50" t="s">
        <v>68</v>
      </c>
      <c r="AZ3" s="50" t="s">
        <v>69</v>
      </c>
      <c r="BA3" s="51" t="s">
        <v>27</v>
      </c>
      <c r="BB3" s="50" t="s">
        <v>70</v>
      </c>
      <c r="BC3" s="50" t="s">
        <v>71</v>
      </c>
      <c r="BD3" s="50" t="s">
        <v>72</v>
      </c>
      <c r="BE3" s="50" t="s">
        <v>73</v>
      </c>
      <c r="BF3" s="51" t="s">
        <v>28</v>
      </c>
      <c r="BG3" s="50" t="s">
        <v>74</v>
      </c>
      <c r="BH3" s="50" t="s">
        <v>75</v>
      </c>
      <c r="BI3" s="50" t="s">
        <v>76</v>
      </c>
      <c r="BJ3" s="50" t="s">
        <v>77</v>
      </c>
      <c r="BK3" s="51" t="s">
        <v>29</v>
      </c>
      <c r="BL3" s="50" t="s">
        <v>78</v>
      </c>
      <c r="BM3" s="50" t="s">
        <v>79</v>
      </c>
      <c r="BN3" s="50" t="s">
        <v>31</v>
      </c>
      <c r="BO3" s="50" t="s">
        <v>32</v>
      </c>
      <c r="BP3" s="50" t="s">
        <v>80</v>
      </c>
    </row>
    <row r="4" spans="1:69" x14ac:dyDescent="0.45">
      <c r="A4" s="16"/>
      <c r="B4" s="16"/>
      <c r="C4" s="17">
        <f>SUMIF(D$3:BP$3, "Summary*", D4:BP4)</f>
        <v>0</v>
      </c>
      <c r="D4" s="18">
        <f>SUM(T_PayForecast[[#This Row],[w12]:[w16]])</f>
        <v>0</v>
      </c>
      <c r="E4" s="19"/>
      <c r="F4" s="19"/>
      <c r="G4" s="19"/>
      <c r="H4" s="19"/>
      <c r="I4" s="19"/>
      <c r="J4" s="18">
        <f>SUM(T_PayForecast[[#This Row],[w17]:[w20]])</f>
        <v>0</v>
      </c>
      <c r="K4" s="19"/>
      <c r="L4" s="19"/>
      <c r="M4" s="19"/>
      <c r="N4" s="19"/>
      <c r="O4" s="18">
        <f>SUM(T_PayForecast[[#This Row],[w21]:[w25]])</f>
        <v>0</v>
      </c>
      <c r="P4" s="20"/>
      <c r="Q4" s="20"/>
      <c r="R4" s="20"/>
      <c r="S4" s="19"/>
      <c r="T4" s="19"/>
      <c r="U4" s="18">
        <f>SUM(T_PayForecast[[#This Row],[w26]:[w29]])</f>
        <v>0</v>
      </c>
      <c r="V4" s="19"/>
      <c r="W4" s="19"/>
      <c r="X4" s="19"/>
      <c r="Y4" s="19"/>
      <c r="Z4" s="18">
        <f>SUM(T_PayForecast[[#This Row],[w30]:[w34]])</f>
        <v>0</v>
      </c>
      <c r="AA4" s="19"/>
      <c r="AB4" s="19"/>
      <c r="AC4" s="19"/>
      <c r="AD4" s="19"/>
      <c r="AE4" s="19"/>
      <c r="AF4" s="18">
        <f>SUM(T_PayForecast[[#This Row],[w35]:[w38]])</f>
        <v>0</v>
      </c>
      <c r="AG4" s="19"/>
      <c r="AH4" s="19"/>
      <c r="AI4" s="19"/>
      <c r="AJ4" s="19"/>
      <c r="AK4" s="18">
        <f>SUM(T_PayForecast[[#This Row],[w39]:[w42]])</f>
        <v>0</v>
      </c>
      <c r="AL4" s="19"/>
      <c r="AM4" s="19"/>
      <c r="AN4" s="19"/>
      <c r="AO4" s="19"/>
      <c r="AP4" s="18">
        <f>SUM(T_PayForecast[[#This Row],[w43]:[w47]])</f>
        <v>0</v>
      </c>
      <c r="AQ4" s="19"/>
      <c r="AR4" s="19"/>
      <c r="AS4" s="19"/>
      <c r="AT4" s="19"/>
      <c r="AU4" s="19"/>
      <c r="AV4" s="18">
        <f>SUM(T_PayForecast[[#This Row],[w48]:[w51]])</f>
        <v>0</v>
      </c>
      <c r="AW4" s="19"/>
      <c r="AX4" s="19"/>
      <c r="AY4" s="19"/>
      <c r="AZ4" s="19"/>
      <c r="BA4" s="18">
        <f>SUM(T_PayForecast[[#This Row],[w52]:[w03]])</f>
        <v>0</v>
      </c>
      <c r="BB4" s="19"/>
      <c r="BC4" s="19"/>
      <c r="BD4" s="19"/>
      <c r="BE4" s="19"/>
      <c r="BF4" s="18">
        <f>SUM(T_PayForecast[[#This Row],[w04]:[w07]])</f>
        <v>0</v>
      </c>
      <c r="BG4" s="19"/>
      <c r="BH4" s="19"/>
      <c r="BI4" s="19"/>
      <c r="BJ4" s="19"/>
      <c r="BK4" s="18">
        <f>SUM(T_PayForecast[[#This Row],[w08]:[w12'']])</f>
        <v>0</v>
      </c>
      <c r="BL4" s="19"/>
      <c r="BM4" s="19"/>
      <c r="BN4" s="19"/>
      <c r="BO4" s="19"/>
      <c r="BP4" s="19"/>
    </row>
    <row r="5" spans="1:69" x14ac:dyDescent="0.45">
      <c r="A5" s="21" t="s">
        <v>88</v>
      </c>
      <c r="B5" s="21"/>
      <c r="C5" s="22">
        <f>SUBTOTAL(109,T_PayForecast[Amount])/10000000</f>
        <v>0</v>
      </c>
      <c r="D5" s="23">
        <f>SUBTOTAL(109,T_PayForecast[Summary 01])</f>
        <v>0</v>
      </c>
      <c r="E5" s="23">
        <f>SUBTOTAL(109,T_PayForecast[w12])</f>
        <v>0</v>
      </c>
      <c r="F5" s="23">
        <f>SUBTOTAL(109,T_PayForecast[w13])</f>
        <v>0</v>
      </c>
      <c r="G5" s="23">
        <f>SUBTOTAL(109,T_PayForecast[w14])</f>
        <v>0</v>
      </c>
      <c r="H5" s="23">
        <f>SUBTOTAL(109,T_PayForecast[w15])</f>
        <v>0</v>
      </c>
      <c r="I5" s="23">
        <f>SUBTOTAL(109,T_PayForecast[w16])</f>
        <v>0</v>
      </c>
      <c r="J5" s="23">
        <f>SUBTOTAL(109,T_PayForecast[Summary 02])</f>
        <v>0</v>
      </c>
      <c r="K5" s="23">
        <f>SUBTOTAL(109,T_PayForecast[w17])</f>
        <v>0</v>
      </c>
      <c r="L5" s="23">
        <f>SUBTOTAL(109,T_PayForecast[w18])</f>
        <v>0</v>
      </c>
      <c r="M5" s="23">
        <f>SUBTOTAL(109,T_PayForecast[w19])</f>
        <v>0</v>
      </c>
      <c r="N5" s="23">
        <f>SUBTOTAL(109,T_PayForecast[w20])</f>
        <v>0</v>
      </c>
      <c r="O5" s="23">
        <f>SUBTOTAL(109,T_PayForecast[Summary 03])</f>
        <v>0</v>
      </c>
      <c r="P5" s="23">
        <f>SUBTOTAL(109,T_PayForecast[w21])</f>
        <v>0</v>
      </c>
      <c r="Q5" s="23">
        <f>SUBTOTAL(109,T_PayForecast[w22])</f>
        <v>0</v>
      </c>
      <c r="R5" s="23">
        <f>SUBTOTAL(109,T_PayForecast[w23])</f>
        <v>0</v>
      </c>
      <c r="S5" s="23">
        <f>SUBTOTAL(109,T_PayForecast[w24])</f>
        <v>0</v>
      </c>
      <c r="T5" s="23">
        <f>SUBTOTAL(109,T_PayForecast[w25])</f>
        <v>0</v>
      </c>
      <c r="U5" s="23">
        <f>SUBTOTAL(109,T_PayForecast[Summary 04])</f>
        <v>0</v>
      </c>
      <c r="V5" s="23">
        <f>SUBTOTAL(109,T_PayForecast[w26])</f>
        <v>0</v>
      </c>
      <c r="W5" s="23">
        <f>SUBTOTAL(109,T_PayForecast[w27])</f>
        <v>0</v>
      </c>
      <c r="X5" s="23">
        <f>SUBTOTAL(109,T_PayForecast[w28])</f>
        <v>0</v>
      </c>
      <c r="Y5" s="23">
        <f>SUBTOTAL(109,T_PayForecast[w29])</f>
        <v>0</v>
      </c>
      <c r="Z5" s="23">
        <f>SUBTOTAL(109,T_PayForecast[Summary 05])</f>
        <v>0</v>
      </c>
      <c r="AA5" s="23">
        <f>SUBTOTAL(109,T_PayForecast[w30])</f>
        <v>0</v>
      </c>
      <c r="AB5" s="23">
        <f>SUBTOTAL(109,T_PayForecast[w31])</f>
        <v>0</v>
      </c>
      <c r="AC5" s="23">
        <f>SUBTOTAL(109,T_PayForecast[w32])</f>
        <v>0</v>
      </c>
      <c r="AD5" s="23">
        <f>SUBTOTAL(109,T_PayForecast[w33])</f>
        <v>0</v>
      </c>
      <c r="AE5" s="23">
        <f>SUBTOTAL(109,T_PayForecast[w34])</f>
        <v>0</v>
      </c>
      <c r="AF5" s="23">
        <f>SUBTOTAL(109,T_PayForecast[Summary 06])</f>
        <v>0</v>
      </c>
      <c r="AG5" s="23">
        <f>SUBTOTAL(109,T_PayForecast[w35])</f>
        <v>0</v>
      </c>
      <c r="AH5" s="23">
        <f>SUBTOTAL(109,T_PayForecast[w36])</f>
        <v>0</v>
      </c>
      <c r="AI5" s="23">
        <f>SUBTOTAL(109,T_PayForecast[w37])</f>
        <v>0</v>
      </c>
      <c r="AJ5" s="23">
        <f>SUBTOTAL(109,T_PayForecast[w38])</f>
        <v>0</v>
      </c>
      <c r="AK5" s="23">
        <f>SUBTOTAL(109,T_PayForecast[Summary 07])</f>
        <v>0</v>
      </c>
      <c r="AL5" s="23">
        <f>SUBTOTAL(109,T_PayForecast[w39])</f>
        <v>0</v>
      </c>
      <c r="AM5" s="23">
        <f>SUBTOTAL(109,T_PayForecast[w40])</f>
        <v>0</v>
      </c>
      <c r="AN5" s="23">
        <f>SUBTOTAL(109,T_PayForecast[w41])</f>
        <v>0</v>
      </c>
      <c r="AO5" s="23">
        <f>SUBTOTAL(109,T_PayForecast[w42])</f>
        <v>0</v>
      </c>
      <c r="AP5" s="23">
        <f>SUBTOTAL(109,T_PayForecast[Summary 08])</f>
        <v>0</v>
      </c>
      <c r="AQ5" s="23">
        <f>SUBTOTAL(109,T_PayForecast[w43])</f>
        <v>0</v>
      </c>
      <c r="AR5" s="23">
        <f>SUBTOTAL(109,T_PayForecast[w44])</f>
        <v>0</v>
      </c>
      <c r="AS5" s="23">
        <f>SUBTOTAL(109,T_PayForecast[w45])</f>
        <v>0</v>
      </c>
      <c r="AT5" s="23">
        <f>SUBTOTAL(109,T_PayForecast[w46])</f>
        <v>0</v>
      </c>
      <c r="AU5" s="23">
        <f>SUBTOTAL(109,T_PayForecast[w47])</f>
        <v>0</v>
      </c>
      <c r="AV5" s="23">
        <f>SUBTOTAL(109,T_PayForecast[Summary 09])</f>
        <v>0</v>
      </c>
      <c r="AW5" s="23">
        <f>SUBTOTAL(109,T_PayForecast[w48])</f>
        <v>0</v>
      </c>
      <c r="AX5" s="23">
        <f>SUBTOTAL(109,T_PayForecast[w49])</f>
        <v>0</v>
      </c>
      <c r="AY5" s="23">
        <f>SUBTOTAL(109,T_PayForecast[w50])</f>
        <v>0</v>
      </c>
      <c r="AZ5" s="23">
        <f>SUBTOTAL(109,T_PayForecast[w51])</f>
        <v>0</v>
      </c>
      <c r="BA5" s="23">
        <f>SUBTOTAL(109,T_PayForecast[Summary 10])</f>
        <v>0</v>
      </c>
      <c r="BB5" s="23">
        <f>SUBTOTAL(109,T_PayForecast[w52])</f>
        <v>0</v>
      </c>
      <c r="BC5" s="23">
        <f>SUBTOTAL(109,T_PayForecast[w01])</f>
        <v>0</v>
      </c>
      <c r="BD5" s="23">
        <f>SUBTOTAL(109,T_PayForecast[w02])</f>
        <v>0</v>
      </c>
      <c r="BE5" s="23">
        <f>SUBTOTAL(109,T_PayForecast[w03])</f>
        <v>0</v>
      </c>
      <c r="BF5" s="23">
        <f>SUBTOTAL(109,T_PayForecast[Summary 11])</f>
        <v>0</v>
      </c>
      <c r="BG5" s="23">
        <f>SUBTOTAL(109,T_PayForecast[w04])</f>
        <v>0</v>
      </c>
      <c r="BH5" s="23">
        <f>SUBTOTAL(109,T_PayForecast[w05])</f>
        <v>0</v>
      </c>
      <c r="BI5" s="23">
        <f>SUBTOTAL(109,T_PayForecast[w06])</f>
        <v>0</v>
      </c>
      <c r="BJ5" s="23">
        <f>SUBTOTAL(109,T_PayForecast[w07])</f>
        <v>0</v>
      </c>
      <c r="BK5" s="23">
        <f>SUBTOTAL(109,T_PayForecast[Summary 12])</f>
        <v>0</v>
      </c>
      <c r="BL5" s="23">
        <f>SUBTOTAL(109,T_PayForecast[w08])</f>
        <v>0</v>
      </c>
      <c r="BM5" s="23">
        <f>SUBTOTAL(109,T_PayForecast[w09])</f>
        <v>0</v>
      </c>
      <c r="BN5" s="23">
        <f>SUBTOTAL(109,T_PayForecast[w10])</f>
        <v>0</v>
      </c>
      <c r="BO5" s="23">
        <f>SUBTOTAL(109,T_PayForecast[w11])</f>
        <v>0</v>
      </c>
      <c r="BP5" s="23">
        <f>SUBTOTAL(109,T_PayForecast[w12''])</f>
        <v>0</v>
      </c>
    </row>
  </sheetData>
  <mergeCells count="24">
    <mergeCell ref="BK1:BP1"/>
    <mergeCell ref="A1:A2"/>
    <mergeCell ref="D1:I1"/>
    <mergeCell ref="J1:N1"/>
    <mergeCell ref="U1:Y1"/>
    <mergeCell ref="Z1:AE1"/>
    <mergeCell ref="AF1:AJ1"/>
    <mergeCell ref="AK1:AO1"/>
    <mergeCell ref="AP1:AU1"/>
    <mergeCell ref="AV1:AZ1"/>
    <mergeCell ref="BA1:BE1"/>
    <mergeCell ref="BF1:BJ1"/>
    <mergeCell ref="E2:I2"/>
    <mergeCell ref="K2:N2"/>
    <mergeCell ref="P2:T2"/>
    <mergeCell ref="V2:Y2"/>
    <mergeCell ref="BB2:BE2"/>
    <mergeCell ref="BG2:BJ2"/>
    <mergeCell ref="BL2:BP2"/>
    <mergeCell ref="AA2:AE2"/>
    <mergeCell ref="AG2:AJ2"/>
    <mergeCell ref="AL2:AO2"/>
    <mergeCell ref="AQ2:AU2"/>
    <mergeCell ref="AW2:AZ2"/>
  </mergeCells>
  <dataValidations count="2">
    <dataValidation type="list" allowBlank="1" showInputMessage="1" showErrorMessage="1" sqref="B4" xr:uid="{ECA009F9-4E6F-43FF-A020-F26B3E6866BB}">
      <formula1>L_OutputGroup</formula1>
    </dataValidation>
    <dataValidation allowBlank="1" showInputMessage="1" showErrorMessage="1" error="محاز به انتخاب از مواردی که در لیست کشویی‌ست هستید" sqref="C4:D4 J4 BF4 AV4 AP4 AK4 AF4 Z4 U4 O4 BA4 BK4" xr:uid="{D89D4467-9B8F-483A-BE34-1EC037D93F6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B038-9DB5-43E9-9B84-1C2023E67E85}">
  <sheetPr>
    <tabColor theme="0" tint="-0.34998626667073579"/>
    <pageSetUpPr fitToPage="1"/>
  </sheetPr>
  <dimension ref="A1:AS54"/>
  <sheetViews>
    <sheetView showGridLines="0" rightToLeft="1" zoomScaleNormal="100" workbookViewId="0">
      <selection activeCell="E46" sqref="E46"/>
    </sheetView>
  </sheetViews>
  <sheetFormatPr defaultRowHeight="14.25" x14ac:dyDescent="0.2"/>
  <cols>
    <col min="1" max="4" width="9" style="1" customWidth="1"/>
    <col min="5" max="5" width="9" customWidth="1"/>
    <col min="6" max="9" width="9" style="2" customWidth="1"/>
    <col min="10" max="10" width="9" customWidth="1"/>
    <col min="27" max="28" width="9" style="38"/>
    <col min="29" max="29" width="9.375" style="40" bestFit="1" customWidth="1"/>
    <col min="30" max="30" width="9.875" style="6" bestFit="1" customWidth="1"/>
    <col min="31" max="31" width="4.25" style="6" bestFit="1" customWidth="1"/>
    <col min="32" max="32" width="5.5" style="6" bestFit="1" customWidth="1"/>
    <col min="33" max="33" width="6.5" style="6" bestFit="1" customWidth="1"/>
    <col min="34" max="34" width="6.625" style="6" bestFit="1" customWidth="1"/>
    <col min="35" max="35" width="7.375" style="6" bestFit="1" customWidth="1"/>
    <col min="36" max="36" width="8.125" style="6" bestFit="1" customWidth="1"/>
    <col min="37" max="37" width="5.875" style="6" bestFit="1" customWidth="1"/>
    <col min="38" max="38" width="6.25" bestFit="1" customWidth="1"/>
    <col min="39" max="39" width="5.25" bestFit="1" customWidth="1"/>
    <col min="40" max="40" width="6.625" bestFit="1" customWidth="1"/>
    <col min="41" max="41" width="4.125" bestFit="1" customWidth="1"/>
    <col min="42" max="42" width="3.875" bestFit="1" customWidth="1"/>
    <col min="43" max="43" width="5.375" style="3" bestFit="1" customWidth="1"/>
    <col min="44" max="44" width="5.25" style="3" bestFit="1" customWidth="1"/>
    <col min="45" max="45" width="6.625" style="3" bestFit="1" customWidth="1"/>
  </cols>
  <sheetData>
    <row r="1" spans="5:45" x14ac:dyDescent="0.2">
      <c r="E1" s="2"/>
      <c r="F1"/>
      <c r="G1"/>
      <c r="H1"/>
      <c r="I1"/>
      <c r="AC1" s="5" t="s">
        <v>138</v>
      </c>
      <c r="AD1" s="5" t="s">
        <v>81</v>
      </c>
      <c r="AE1" s="5" t="s">
        <v>142</v>
      </c>
      <c r="AF1" s="5" t="s">
        <v>153</v>
      </c>
      <c r="AG1" s="5" t="s">
        <v>143</v>
      </c>
      <c r="AH1" s="5" t="s">
        <v>154</v>
      </c>
      <c r="AI1" s="5" t="s">
        <v>144</v>
      </c>
      <c r="AJ1" s="5" t="s">
        <v>155</v>
      </c>
      <c r="AK1" s="5" t="s">
        <v>141</v>
      </c>
      <c r="AQ1"/>
      <c r="AR1"/>
      <c r="AS1"/>
    </row>
    <row r="2" spans="5:45" x14ac:dyDescent="0.2">
      <c r="E2" s="2"/>
      <c r="F2"/>
      <c r="G2"/>
      <c r="H2"/>
      <c r="I2"/>
      <c r="AC2" s="40">
        <v>1</v>
      </c>
      <c r="AD2" s="6" t="s">
        <v>93</v>
      </c>
      <c r="AE2" s="40">
        <v>1</v>
      </c>
      <c r="AF2" s="40">
        <v>0</v>
      </c>
      <c r="AG2" s="40">
        <v>0</v>
      </c>
      <c r="AH2" s="40">
        <v>0</v>
      </c>
      <c r="AI2" s="40">
        <v>1</v>
      </c>
      <c r="AJ2" s="40">
        <v>0</v>
      </c>
      <c r="AK2" s="6">
        <f>AK1+T_Chart[[#This Row],[ Total]]</f>
        <v>1</v>
      </c>
      <c r="AQ2"/>
      <c r="AR2"/>
      <c r="AS2"/>
    </row>
    <row r="3" spans="5:45" x14ac:dyDescent="0.2">
      <c r="E3" s="2"/>
      <c r="F3"/>
      <c r="G3"/>
      <c r="H3"/>
      <c r="I3"/>
      <c r="AC3" s="40">
        <v>2</v>
      </c>
      <c r="AD3" s="6" t="s">
        <v>87</v>
      </c>
      <c r="AE3" s="40">
        <v>0</v>
      </c>
      <c r="AF3" s="40">
        <v>0.5</v>
      </c>
      <c r="AG3" s="40">
        <v>0</v>
      </c>
      <c r="AH3" s="40">
        <v>-0.3</v>
      </c>
      <c r="AI3" s="40">
        <v>0</v>
      </c>
      <c r="AJ3" s="40">
        <v>0.2</v>
      </c>
      <c r="AK3" s="6">
        <f>AK2+T_Chart[[#This Row],[ Total]]</f>
        <v>1</v>
      </c>
      <c r="AQ3"/>
      <c r="AR3"/>
      <c r="AS3"/>
    </row>
    <row r="4" spans="5:45" x14ac:dyDescent="0.2">
      <c r="E4" s="2"/>
      <c r="F4"/>
      <c r="G4"/>
      <c r="H4"/>
      <c r="I4"/>
      <c r="AC4" s="40">
        <v>3</v>
      </c>
      <c r="AD4" s="6" t="s">
        <v>94</v>
      </c>
      <c r="AE4" s="40">
        <v>0</v>
      </c>
      <c r="AF4" s="40">
        <v>0</v>
      </c>
      <c r="AG4" s="40">
        <v>-0.5</v>
      </c>
      <c r="AH4" s="40">
        <v>-0.3</v>
      </c>
      <c r="AI4" s="40">
        <v>-0.5</v>
      </c>
      <c r="AJ4" s="40">
        <v>-0.3</v>
      </c>
      <c r="AK4" s="6">
        <f>AK3+T_Chart[[#This Row],[ Total]]</f>
        <v>0.5</v>
      </c>
      <c r="AQ4"/>
      <c r="AR4"/>
      <c r="AS4"/>
    </row>
    <row r="5" spans="5:45" x14ac:dyDescent="0.2">
      <c r="E5" s="2"/>
      <c r="F5"/>
      <c r="G5"/>
      <c r="H5"/>
      <c r="I5"/>
      <c r="AC5" s="40">
        <v>4</v>
      </c>
      <c r="AD5" s="6" t="s">
        <v>82</v>
      </c>
      <c r="AE5" s="40">
        <v>0</v>
      </c>
      <c r="AF5" s="40">
        <v>0</v>
      </c>
      <c r="AG5" s="40">
        <v>0</v>
      </c>
      <c r="AH5" s="40">
        <v>-0.4</v>
      </c>
      <c r="AI5" s="40">
        <v>0</v>
      </c>
      <c r="AJ5" s="40">
        <v>-0.4</v>
      </c>
      <c r="AK5" s="6">
        <f>AK4+T_Chart[[#This Row],[ Total]]</f>
        <v>0.5</v>
      </c>
      <c r="AQ5"/>
      <c r="AR5"/>
      <c r="AS5"/>
    </row>
    <row r="6" spans="5:45" x14ac:dyDescent="0.2">
      <c r="E6" s="2"/>
      <c r="F6"/>
      <c r="G6"/>
      <c r="H6"/>
      <c r="I6"/>
      <c r="AC6" s="40">
        <v>5</v>
      </c>
      <c r="AD6" s="6" t="s">
        <v>95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0</v>
      </c>
      <c r="AK6" s="6">
        <f>AK5+T_Chart[[#This Row],[ Total]]</f>
        <v>0.5</v>
      </c>
      <c r="AQ6"/>
      <c r="AR6"/>
      <c r="AS6"/>
    </row>
    <row r="7" spans="5:45" x14ac:dyDescent="0.2">
      <c r="E7" s="2"/>
      <c r="F7"/>
      <c r="G7"/>
      <c r="H7"/>
      <c r="I7"/>
      <c r="AC7" s="40">
        <v>6</v>
      </c>
      <c r="AD7" s="6" t="s">
        <v>96</v>
      </c>
      <c r="AE7" s="40">
        <v>0</v>
      </c>
      <c r="AF7" s="40">
        <v>0</v>
      </c>
      <c r="AG7" s="40">
        <v>0</v>
      </c>
      <c r="AH7" s="40">
        <v>0</v>
      </c>
      <c r="AI7" s="40">
        <v>0</v>
      </c>
      <c r="AJ7" s="40">
        <v>0</v>
      </c>
      <c r="AK7" s="6">
        <f>AK6+T_Chart[[#This Row],[ Total]]</f>
        <v>0.5</v>
      </c>
      <c r="AQ7"/>
      <c r="AR7"/>
      <c r="AS7"/>
    </row>
    <row r="8" spans="5:45" x14ac:dyDescent="0.2">
      <c r="E8" s="2"/>
      <c r="F8"/>
      <c r="G8"/>
      <c r="H8"/>
      <c r="I8"/>
      <c r="AC8" s="40">
        <v>7</v>
      </c>
      <c r="AD8" s="6" t="s">
        <v>97</v>
      </c>
      <c r="AE8" s="40">
        <v>0</v>
      </c>
      <c r="AF8" s="40">
        <v>0</v>
      </c>
      <c r="AG8" s="40">
        <v>-5.0000000000000001E-3</v>
      </c>
      <c r="AH8" s="40">
        <v>-5.0000000000000001E-3</v>
      </c>
      <c r="AI8" s="40">
        <v>-5.0000000000000001E-3</v>
      </c>
      <c r="AJ8" s="40">
        <v>-5.0000000000000001E-3</v>
      </c>
      <c r="AK8" s="6">
        <f>AK7+T_Chart[[#This Row],[ Total]]</f>
        <v>0.495</v>
      </c>
      <c r="AQ8"/>
      <c r="AR8"/>
      <c r="AS8"/>
    </row>
    <row r="9" spans="5:45" x14ac:dyDescent="0.2">
      <c r="E9" s="2"/>
      <c r="F9"/>
      <c r="G9"/>
      <c r="H9"/>
      <c r="I9"/>
      <c r="AC9" s="40">
        <v>8</v>
      </c>
      <c r="AD9" s="6" t="s">
        <v>98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  <c r="AJ9" s="40">
        <v>0</v>
      </c>
      <c r="AK9" s="6">
        <f>AK8+T_Chart[[#This Row],[ Total]]</f>
        <v>0.495</v>
      </c>
      <c r="AQ9"/>
      <c r="AR9"/>
      <c r="AS9"/>
    </row>
    <row r="10" spans="5:45" x14ac:dyDescent="0.2">
      <c r="E10" s="2"/>
      <c r="F10"/>
      <c r="G10"/>
      <c r="H10"/>
      <c r="I10"/>
      <c r="AC10" s="40">
        <v>9</v>
      </c>
      <c r="AD10" s="6" t="s">
        <v>85</v>
      </c>
      <c r="AE10" s="40">
        <v>0</v>
      </c>
      <c r="AF10" s="40">
        <v>0</v>
      </c>
      <c r="AG10" s="40">
        <v>0</v>
      </c>
      <c r="AH10" s="40">
        <v>0</v>
      </c>
      <c r="AI10" s="40">
        <v>0</v>
      </c>
      <c r="AJ10" s="40">
        <v>0</v>
      </c>
      <c r="AK10" s="6">
        <f>AK9+T_Chart[[#This Row],[ Total]]</f>
        <v>0.495</v>
      </c>
      <c r="AQ10"/>
      <c r="AR10"/>
      <c r="AS10"/>
    </row>
    <row r="11" spans="5:45" x14ac:dyDescent="0.2">
      <c r="E11" s="2"/>
      <c r="F11"/>
      <c r="G11"/>
      <c r="H11"/>
      <c r="I11"/>
      <c r="AC11" s="40">
        <v>10</v>
      </c>
      <c r="AD11" s="6" t="s">
        <v>99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6">
        <f>AK10+T_Chart[[#This Row],[ Total]]</f>
        <v>0.495</v>
      </c>
      <c r="AQ11"/>
      <c r="AR11"/>
      <c r="AS11"/>
    </row>
    <row r="12" spans="5:45" x14ac:dyDescent="0.2">
      <c r="E12" s="2"/>
      <c r="F12"/>
      <c r="G12"/>
      <c r="H12"/>
      <c r="I12"/>
      <c r="AC12" s="40">
        <v>11</v>
      </c>
      <c r="AD12" s="6" t="s">
        <v>84</v>
      </c>
      <c r="AE12" s="40">
        <v>0</v>
      </c>
      <c r="AF12" s="40">
        <v>0</v>
      </c>
      <c r="AG12" s="40">
        <v>0</v>
      </c>
      <c r="AH12" s="40">
        <v>0</v>
      </c>
      <c r="AI12" s="40">
        <v>0</v>
      </c>
      <c r="AJ12" s="40">
        <v>0</v>
      </c>
      <c r="AK12" s="6">
        <f>AK11+T_Chart[[#This Row],[ Total]]</f>
        <v>0.495</v>
      </c>
      <c r="AQ12"/>
      <c r="AR12"/>
      <c r="AS12"/>
    </row>
    <row r="13" spans="5:45" x14ac:dyDescent="0.2">
      <c r="E13" s="2"/>
      <c r="F13"/>
      <c r="G13"/>
      <c r="H13"/>
      <c r="I13"/>
      <c r="AC13" s="40">
        <v>12</v>
      </c>
      <c r="AD13" s="6" t="s">
        <v>100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6">
        <f>AK12+T_Chart[[#This Row],[ Total]]</f>
        <v>0.495</v>
      </c>
      <c r="AQ13"/>
      <c r="AR13"/>
      <c r="AS13"/>
    </row>
    <row r="14" spans="5:45" x14ac:dyDescent="0.2">
      <c r="E14" s="2"/>
      <c r="F14"/>
      <c r="G14"/>
      <c r="H14"/>
      <c r="I14"/>
      <c r="AC14" s="40">
        <v>13</v>
      </c>
      <c r="AD14" s="6" t="s">
        <v>101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6">
        <f>AK13+T_Chart[[#This Row],[ Total]]</f>
        <v>0.495</v>
      </c>
      <c r="AQ14"/>
      <c r="AR14"/>
      <c r="AS14"/>
    </row>
    <row r="15" spans="5:45" x14ac:dyDescent="0.2">
      <c r="E15" s="2"/>
      <c r="F15"/>
      <c r="G15"/>
      <c r="H15"/>
      <c r="I15"/>
      <c r="AC15" s="40">
        <v>14</v>
      </c>
      <c r="AD15" s="6" t="s">
        <v>102</v>
      </c>
      <c r="AE15" s="40">
        <v>0</v>
      </c>
      <c r="AF15" s="40">
        <v>0</v>
      </c>
      <c r="AG15" s="40">
        <v>0</v>
      </c>
      <c r="AH15" s="40">
        <v>0</v>
      </c>
      <c r="AI15" s="40">
        <v>0</v>
      </c>
      <c r="AJ15" s="40">
        <v>0</v>
      </c>
      <c r="AK15" s="6">
        <f>AK14+T_Chart[[#This Row],[ Total]]</f>
        <v>0.495</v>
      </c>
      <c r="AQ15"/>
      <c r="AR15"/>
      <c r="AS15"/>
    </row>
    <row r="16" spans="5:45" x14ac:dyDescent="0.2">
      <c r="E16" s="2"/>
      <c r="F16"/>
      <c r="G16"/>
      <c r="H16"/>
      <c r="I16"/>
      <c r="AC16" s="40">
        <v>15</v>
      </c>
      <c r="AD16" s="6" t="s">
        <v>103</v>
      </c>
      <c r="AE16" s="40">
        <v>0</v>
      </c>
      <c r="AF16" s="40">
        <v>0</v>
      </c>
      <c r="AG16" s="40">
        <v>0</v>
      </c>
      <c r="AH16" s="40">
        <v>0</v>
      </c>
      <c r="AI16" s="40">
        <v>0</v>
      </c>
      <c r="AJ16" s="40">
        <v>0</v>
      </c>
      <c r="AK16" s="6">
        <f>AK15+T_Chart[[#This Row],[ Total]]</f>
        <v>0.495</v>
      </c>
      <c r="AQ16"/>
      <c r="AR16"/>
      <c r="AS16"/>
    </row>
    <row r="17" spans="5:45" x14ac:dyDescent="0.2">
      <c r="E17" s="2"/>
      <c r="F17"/>
      <c r="G17"/>
      <c r="H17"/>
      <c r="I17"/>
      <c r="AC17" s="40">
        <v>16</v>
      </c>
      <c r="AD17" s="6" t="s">
        <v>104</v>
      </c>
      <c r="AE17" s="40">
        <v>0</v>
      </c>
      <c r="AF17" s="40">
        <v>0</v>
      </c>
      <c r="AG17" s="40">
        <v>0</v>
      </c>
      <c r="AH17" s="40">
        <v>0</v>
      </c>
      <c r="AI17" s="40">
        <v>0</v>
      </c>
      <c r="AJ17" s="40">
        <v>0</v>
      </c>
      <c r="AK17" s="6">
        <f>AK16+T_Chart[[#This Row],[ Total]]</f>
        <v>0.495</v>
      </c>
      <c r="AQ17"/>
      <c r="AR17"/>
      <c r="AS17"/>
    </row>
    <row r="18" spans="5:45" x14ac:dyDescent="0.2">
      <c r="E18" s="2"/>
      <c r="F18"/>
      <c r="G18"/>
      <c r="H18"/>
      <c r="I18"/>
      <c r="AC18" s="40">
        <v>17</v>
      </c>
      <c r="AD18" s="6" t="s">
        <v>105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6">
        <f>AK17+T_Chart[[#This Row],[ Total]]</f>
        <v>0.495</v>
      </c>
      <c r="AQ18"/>
      <c r="AR18"/>
      <c r="AS18"/>
    </row>
    <row r="19" spans="5:45" x14ac:dyDescent="0.2">
      <c r="E19" s="2"/>
      <c r="F19"/>
      <c r="G19"/>
      <c r="H19"/>
      <c r="I19"/>
      <c r="AC19" s="40">
        <v>18</v>
      </c>
      <c r="AD19" s="6" t="s">
        <v>106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6">
        <f>AK18+T_Chart[[#This Row],[ Total]]</f>
        <v>0.495</v>
      </c>
      <c r="AQ19"/>
      <c r="AR19"/>
      <c r="AS19"/>
    </row>
    <row r="20" spans="5:45" x14ac:dyDescent="0.2">
      <c r="E20" s="2"/>
      <c r="F20"/>
      <c r="G20"/>
      <c r="H20"/>
      <c r="I20"/>
      <c r="AC20" s="40">
        <v>19</v>
      </c>
      <c r="AD20" s="6" t="s">
        <v>107</v>
      </c>
      <c r="AE20" s="40">
        <v>0</v>
      </c>
      <c r="AF20" s="40">
        <v>0</v>
      </c>
      <c r="AG20" s="40">
        <v>0</v>
      </c>
      <c r="AH20" s="40">
        <v>0</v>
      </c>
      <c r="AI20" s="40">
        <v>0</v>
      </c>
      <c r="AJ20" s="40">
        <v>0</v>
      </c>
      <c r="AK20" s="6">
        <f>AK19+T_Chart[[#This Row],[ Total]]</f>
        <v>0.495</v>
      </c>
      <c r="AQ20"/>
      <c r="AR20"/>
      <c r="AS20"/>
    </row>
    <row r="21" spans="5:45" x14ac:dyDescent="0.2">
      <c r="E21" s="2"/>
      <c r="F21"/>
      <c r="G21"/>
      <c r="H21"/>
      <c r="I21"/>
      <c r="AC21" s="40">
        <v>20</v>
      </c>
      <c r="AD21" s="6" t="s">
        <v>83</v>
      </c>
      <c r="AE21" s="40">
        <v>0</v>
      </c>
      <c r="AF21" s="40">
        <v>0</v>
      </c>
      <c r="AG21" s="40">
        <v>0</v>
      </c>
      <c r="AH21" s="40">
        <v>0</v>
      </c>
      <c r="AI21" s="40">
        <v>0</v>
      </c>
      <c r="AJ21" s="40">
        <v>0</v>
      </c>
      <c r="AK21" s="6">
        <f>AK20+T_Chart[[#This Row],[ Total]]</f>
        <v>0.495</v>
      </c>
      <c r="AQ21"/>
      <c r="AR21"/>
      <c r="AS21"/>
    </row>
    <row r="22" spans="5:45" x14ac:dyDescent="0.2">
      <c r="E22" s="2"/>
      <c r="F22"/>
      <c r="G22"/>
      <c r="H22"/>
      <c r="I22"/>
      <c r="AC22" s="40">
        <v>21</v>
      </c>
      <c r="AD22" s="6" t="s">
        <v>108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6">
        <f>AK21+T_Chart[[#This Row],[ Total]]</f>
        <v>0.495</v>
      </c>
      <c r="AQ22"/>
      <c r="AR22"/>
      <c r="AS22"/>
    </row>
    <row r="23" spans="5:45" x14ac:dyDescent="0.2">
      <c r="E23" s="2"/>
      <c r="F23"/>
      <c r="G23"/>
      <c r="H23"/>
      <c r="I23"/>
      <c r="AC23" s="40">
        <v>22</v>
      </c>
      <c r="AD23" s="6" t="s">
        <v>109</v>
      </c>
      <c r="AE23" s="40">
        <v>0</v>
      </c>
      <c r="AF23" s="40">
        <v>0</v>
      </c>
      <c r="AG23" s="40">
        <v>0</v>
      </c>
      <c r="AH23" s="40">
        <v>0</v>
      </c>
      <c r="AI23" s="40">
        <v>0</v>
      </c>
      <c r="AJ23" s="40">
        <v>0</v>
      </c>
      <c r="AK23" s="6">
        <f>AK22+T_Chart[[#This Row],[ Total]]</f>
        <v>0.495</v>
      </c>
      <c r="AQ23"/>
      <c r="AR23"/>
      <c r="AS23"/>
    </row>
    <row r="24" spans="5:45" x14ac:dyDescent="0.2">
      <c r="E24" s="2"/>
      <c r="F24"/>
      <c r="G24"/>
      <c r="H24"/>
      <c r="I24"/>
      <c r="AC24" s="40">
        <v>23</v>
      </c>
      <c r="AD24" s="6" t="s">
        <v>110</v>
      </c>
      <c r="AE24" s="40">
        <v>0</v>
      </c>
      <c r="AF24" s="40">
        <v>0</v>
      </c>
      <c r="AG24" s="40">
        <v>0</v>
      </c>
      <c r="AH24" s="40">
        <v>0</v>
      </c>
      <c r="AI24" s="40">
        <v>0</v>
      </c>
      <c r="AJ24" s="40">
        <v>0</v>
      </c>
      <c r="AK24" s="6">
        <f>AK23+T_Chart[[#This Row],[ Total]]</f>
        <v>0.495</v>
      </c>
      <c r="AQ24"/>
      <c r="AR24"/>
      <c r="AS24"/>
    </row>
    <row r="25" spans="5:45" x14ac:dyDescent="0.2">
      <c r="E25" s="2"/>
      <c r="F25"/>
      <c r="G25"/>
      <c r="H25"/>
      <c r="I25"/>
      <c r="AC25" s="40">
        <v>24</v>
      </c>
      <c r="AD25" s="6" t="s">
        <v>111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K25" s="6">
        <f>AK24+T_Chart[[#This Row],[ Total]]</f>
        <v>0.495</v>
      </c>
      <c r="AQ25"/>
      <c r="AR25"/>
      <c r="AS25"/>
    </row>
    <row r="26" spans="5:45" x14ac:dyDescent="0.2">
      <c r="E26" s="2"/>
      <c r="F26"/>
      <c r="G26"/>
      <c r="H26"/>
      <c r="I26"/>
      <c r="AC26" s="40">
        <v>25</v>
      </c>
      <c r="AD26" s="6" t="s">
        <v>89</v>
      </c>
      <c r="AE26" s="40">
        <v>0</v>
      </c>
      <c r="AF26" s="40">
        <v>0</v>
      </c>
      <c r="AG26" s="40">
        <v>0</v>
      </c>
      <c r="AH26" s="40">
        <v>0</v>
      </c>
      <c r="AI26" s="40">
        <v>0</v>
      </c>
      <c r="AJ26" s="40">
        <v>0</v>
      </c>
      <c r="AK26" s="6">
        <f>AK25+T_Chart[[#This Row],[ Total]]</f>
        <v>0.495</v>
      </c>
      <c r="AQ26"/>
      <c r="AR26"/>
      <c r="AS26"/>
    </row>
    <row r="27" spans="5:45" x14ac:dyDescent="0.2">
      <c r="E27" s="2"/>
      <c r="F27"/>
      <c r="G27"/>
      <c r="H27"/>
      <c r="I27"/>
      <c r="AC27" s="40">
        <v>26</v>
      </c>
      <c r="AD27" s="6" t="s">
        <v>112</v>
      </c>
      <c r="AE27" s="40">
        <v>0</v>
      </c>
      <c r="AF27" s="40">
        <v>0</v>
      </c>
      <c r="AG27" s="40">
        <v>0</v>
      </c>
      <c r="AH27" s="40">
        <v>0</v>
      </c>
      <c r="AI27" s="40">
        <v>0</v>
      </c>
      <c r="AJ27" s="40">
        <v>0</v>
      </c>
      <c r="AK27" s="6">
        <f>AK26+T_Chart[[#This Row],[ Total]]</f>
        <v>0.495</v>
      </c>
      <c r="AQ27"/>
      <c r="AR27"/>
      <c r="AS27"/>
    </row>
    <row r="28" spans="5:45" x14ac:dyDescent="0.2">
      <c r="E28" s="2"/>
      <c r="F28"/>
      <c r="G28"/>
      <c r="H28"/>
      <c r="I28"/>
      <c r="AC28" s="40">
        <v>27</v>
      </c>
      <c r="AD28" s="6" t="s">
        <v>113</v>
      </c>
      <c r="AE28" s="40">
        <v>0</v>
      </c>
      <c r="AF28" s="40">
        <v>0</v>
      </c>
      <c r="AG28" s="40">
        <v>0</v>
      </c>
      <c r="AH28" s="40">
        <v>0</v>
      </c>
      <c r="AI28" s="40">
        <v>0</v>
      </c>
      <c r="AJ28" s="40">
        <v>0</v>
      </c>
      <c r="AK28" s="6">
        <f>AK27+T_Chart[[#This Row],[ Total]]</f>
        <v>0.495</v>
      </c>
      <c r="AQ28"/>
      <c r="AR28"/>
      <c r="AS28"/>
    </row>
    <row r="29" spans="5:45" x14ac:dyDescent="0.2">
      <c r="E29" s="2"/>
      <c r="F29"/>
      <c r="G29"/>
      <c r="H29"/>
      <c r="I29"/>
      <c r="AC29" s="40">
        <v>28</v>
      </c>
      <c r="AD29" s="6" t="s">
        <v>114</v>
      </c>
      <c r="AE29" s="40">
        <v>0</v>
      </c>
      <c r="AF29" s="40">
        <v>0</v>
      </c>
      <c r="AG29" s="40">
        <v>0</v>
      </c>
      <c r="AH29" s="40">
        <v>0</v>
      </c>
      <c r="AI29" s="40">
        <v>0</v>
      </c>
      <c r="AJ29" s="40">
        <v>0</v>
      </c>
      <c r="AK29" s="6">
        <f>AK28+T_Chart[[#This Row],[ Total]]</f>
        <v>0.495</v>
      </c>
      <c r="AQ29"/>
      <c r="AR29"/>
      <c r="AS29"/>
    </row>
    <row r="30" spans="5:45" x14ac:dyDescent="0.2">
      <c r="E30" s="2"/>
      <c r="F30"/>
      <c r="G30"/>
      <c r="H30"/>
      <c r="I30"/>
      <c r="AC30" s="40">
        <v>29</v>
      </c>
      <c r="AD30" s="6" t="s">
        <v>115</v>
      </c>
      <c r="AE30" s="40">
        <v>0</v>
      </c>
      <c r="AF30" s="40">
        <v>0</v>
      </c>
      <c r="AG30" s="40">
        <v>0</v>
      </c>
      <c r="AH30" s="40">
        <v>0</v>
      </c>
      <c r="AI30" s="40">
        <v>0</v>
      </c>
      <c r="AJ30" s="40">
        <v>0</v>
      </c>
      <c r="AK30" s="6">
        <f>AK29+T_Chart[[#This Row],[ Total]]</f>
        <v>0.495</v>
      </c>
      <c r="AQ30"/>
      <c r="AR30"/>
      <c r="AS30"/>
    </row>
    <row r="31" spans="5:45" x14ac:dyDescent="0.2">
      <c r="E31" s="2"/>
      <c r="F31"/>
      <c r="G31"/>
      <c r="H31"/>
      <c r="I31"/>
      <c r="AC31" s="40">
        <v>30</v>
      </c>
      <c r="AD31" s="6" t="s">
        <v>90</v>
      </c>
      <c r="AE31" s="40">
        <v>0</v>
      </c>
      <c r="AF31" s="40">
        <v>0</v>
      </c>
      <c r="AG31" s="40">
        <v>0</v>
      </c>
      <c r="AH31" s="40">
        <v>0</v>
      </c>
      <c r="AI31" s="40">
        <v>0</v>
      </c>
      <c r="AJ31" s="40">
        <v>0</v>
      </c>
      <c r="AK31" s="6">
        <f>AK30+T_Chart[[#This Row],[ Total]]</f>
        <v>0.495</v>
      </c>
      <c r="AQ31"/>
      <c r="AR31"/>
      <c r="AS31"/>
    </row>
    <row r="32" spans="5:45" x14ac:dyDescent="0.2">
      <c r="E32" s="2"/>
      <c r="F32"/>
      <c r="G32"/>
      <c r="H32"/>
      <c r="I32"/>
      <c r="AC32" s="40">
        <v>31</v>
      </c>
      <c r="AD32" s="6" t="s">
        <v>116</v>
      </c>
      <c r="AE32" s="40">
        <v>0</v>
      </c>
      <c r="AF32" s="40">
        <v>0</v>
      </c>
      <c r="AG32" s="40">
        <v>0</v>
      </c>
      <c r="AH32" s="40">
        <v>0</v>
      </c>
      <c r="AI32" s="40">
        <v>0</v>
      </c>
      <c r="AJ32" s="40">
        <v>0</v>
      </c>
      <c r="AK32" s="6">
        <f>AK31+T_Chart[[#This Row],[ Total]]</f>
        <v>0.495</v>
      </c>
      <c r="AQ32"/>
      <c r="AR32"/>
      <c r="AS32"/>
    </row>
    <row r="33" spans="5:45" x14ac:dyDescent="0.2">
      <c r="E33" s="2"/>
      <c r="F33"/>
      <c r="G33"/>
      <c r="H33"/>
      <c r="I33"/>
      <c r="AC33" s="40">
        <v>32</v>
      </c>
      <c r="AD33" s="6" t="s">
        <v>117</v>
      </c>
      <c r="AE33" s="40">
        <v>0</v>
      </c>
      <c r="AF33" s="40">
        <v>0</v>
      </c>
      <c r="AG33" s="40">
        <v>0</v>
      </c>
      <c r="AH33" s="40">
        <v>0</v>
      </c>
      <c r="AI33" s="40">
        <v>0</v>
      </c>
      <c r="AJ33" s="40">
        <v>0</v>
      </c>
      <c r="AK33" s="6">
        <f>AK32+T_Chart[[#This Row],[ Total]]</f>
        <v>0.495</v>
      </c>
      <c r="AQ33"/>
      <c r="AR33"/>
      <c r="AS33"/>
    </row>
    <row r="34" spans="5:45" x14ac:dyDescent="0.2">
      <c r="E34" s="2"/>
      <c r="F34"/>
      <c r="G34"/>
      <c r="H34"/>
      <c r="I34"/>
      <c r="AC34" s="40">
        <v>33</v>
      </c>
      <c r="AD34" s="6" t="s">
        <v>118</v>
      </c>
      <c r="AE34" s="40">
        <v>0</v>
      </c>
      <c r="AF34" s="40">
        <v>0</v>
      </c>
      <c r="AG34" s="40">
        <v>0</v>
      </c>
      <c r="AH34" s="40">
        <v>0</v>
      </c>
      <c r="AI34" s="40">
        <v>0</v>
      </c>
      <c r="AJ34" s="40">
        <v>0</v>
      </c>
      <c r="AK34" s="6">
        <f>AK33+T_Chart[[#This Row],[ Total]]</f>
        <v>0.495</v>
      </c>
      <c r="AQ34"/>
      <c r="AR34"/>
      <c r="AS34"/>
    </row>
    <row r="35" spans="5:45" x14ac:dyDescent="0.2">
      <c r="E35" s="2"/>
      <c r="F35"/>
      <c r="G35"/>
      <c r="H35"/>
      <c r="I35"/>
      <c r="AC35" s="40">
        <v>34</v>
      </c>
      <c r="AD35" s="6" t="s">
        <v>119</v>
      </c>
      <c r="AE35" s="40">
        <v>0</v>
      </c>
      <c r="AF35" s="40">
        <v>0</v>
      </c>
      <c r="AG35" s="40">
        <v>0</v>
      </c>
      <c r="AH35" s="40">
        <v>0</v>
      </c>
      <c r="AI35" s="40">
        <v>0</v>
      </c>
      <c r="AJ35" s="40">
        <v>0</v>
      </c>
      <c r="AK35" s="6">
        <f>AK34+T_Chart[[#This Row],[ Total]]</f>
        <v>0.495</v>
      </c>
      <c r="AQ35"/>
      <c r="AR35"/>
      <c r="AS35"/>
    </row>
    <row r="36" spans="5:45" x14ac:dyDescent="0.2">
      <c r="E36" s="2"/>
      <c r="F36"/>
      <c r="G36"/>
      <c r="H36"/>
      <c r="I36"/>
      <c r="AC36" s="40">
        <v>35</v>
      </c>
      <c r="AD36" s="6" t="s">
        <v>120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0</v>
      </c>
      <c r="AK36" s="6">
        <f>AK35+T_Chart[[#This Row],[ Total]]</f>
        <v>0.495</v>
      </c>
      <c r="AQ36"/>
      <c r="AR36"/>
      <c r="AS36"/>
    </row>
    <row r="37" spans="5:45" x14ac:dyDescent="0.2">
      <c r="E37" s="2"/>
      <c r="F37"/>
      <c r="G37"/>
      <c r="H37"/>
      <c r="I37"/>
      <c r="AC37" s="40">
        <v>36</v>
      </c>
      <c r="AD37" s="6" t="s">
        <v>121</v>
      </c>
      <c r="AE37" s="40">
        <v>0</v>
      </c>
      <c r="AF37" s="40">
        <v>0</v>
      </c>
      <c r="AG37" s="40">
        <v>0</v>
      </c>
      <c r="AH37" s="40">
        <v>0</v>
      </c>
      <c r="AI37" s="40">
        <v>0</v>
      </c>
      <c r="AJ37" s="40">
        <v>0</v>
      </c>
      <c r="AK37" s="6">
        <f>AK36+T_Chart[[#This Row],[ Total]]</f>
        <v>0.495</v>
      </c>
      <c r="AQ37"/>
      <c r="AR37"/>
      <c r="AS37"/>
    </row>
    <row r="38" spans="5:45" x14ac:dyDescent="0.2">
      <c r="E38" s="2"/>
      <c r="F38"/>
      <c r="G38"/>
      <c r="H38"/>
      <c r="I38"/>
      <c r="AC38" s="40">
        <v>37</v>
      </c>
      <c r="AD38" s="6" t="s">
        <v>122</v>
      </c>
      <c r="AE38" s="40">
        <v>0</v>
      </c>
      <c r="AF38" s="40">
        <v>0</v>
      </c>
      <c r="AG38" s="40">
        <v>0</v>
      </c>
      <c r="AH38" s="40">
        <v>0</v>
      </c>
      <c r="AI38" s="40">
        <v>0</v>
      </c>
      <c r="AJ38" s="40">
        <v>0</v>
      </c>
      <c r="AK38" s="6">
        <f>AK37+T_Chart[[#This Row],[ Total]]</f>
        <v>0.495</v>
      </c>
      <c r="AQ38"/>
      <c r="AR38"/>
      <c r="AS38"/>
    </row>
    <row r="39" spans="5:45" x14ac:dyDescent="0.2">
      <c r="E39" s="2"/>
      <c r="F39"/>
      <c r="G39"/>
      <c r="H39"/>
      <c r="I39"/>
      <c r="AC39" s="40">
        <v>38</v>
      </c>
      <c r="AD39" s="6" t="s">
        <v>123</v>
      </c>
      <c r="AE39" s="40">
        <v>0</v>
      </c>
      <c r="AF39" s="40">
        <v>0</v>
      </c>
      <c r="AG39" s="40">
        <v>0</v>
      </c>
      <c r="AH39" s="40">
        <v>0</v>
      </c>
      <c r="AI39" s="40">
        <v>0</v>
      </c>
      <c r="AJ39" s="40">
        <v>0</v>
      </c>
      <c r="AK39" s="6">
        <f>AK38+T_Chart[[#This Row],[ Total]]</f>
        <v>0.495</v>
      </c>
      <c r="AQ39"/>
      <c r="AR39"/>
      <c r="AS39"/>
    </row>
    <row r="40" spans="5:45" x14ac:dyDescent="0.2">
      <c r="E40" s="2"/>
      <c r="F40"/>
      <c r="G40"/>
      <c r="H40"/>
      <c r="I40"/>
      <c r="AC40" s="40">
        <v>39</v>
      </c>
      <c r="AD40" s="6" t="s">
        <v>92</v>
      </c>
      <c r="AE40" s="40">
        <v>0</v>
      </c>
      <c r="AF40" s="40">
        <v>0</v>
      </c>
      <c r="AG40" s="40">
        <v>0</v>
      </c>
      <c r="AH40" s="40">
        <v>0</v>
      </c>
      <c r="AI40" s="40">
        <v>0</v>
      </c>
      <c r="AJ40" s="40">
        <v>0</v>
      </c>
      <c r="AK40" s="6">
        <f>AK39+T_Chart[[#This Row],[ Total]]</f>
        <v>0.495</v>
      </c>
      <c r="AQ40"/>
      <c r="AR40"/>
      <c r="AS40"/>
    </row>
    <row r="41" spans="5:45" x14ac:dyDescent="0.2">
      <c r="E41" s="2"/>
      <c r="F41"/>
      <c r="G41"/>
      <c r="H41"/>
      <c r="I41"/>
      <c r="AC41" s="40">
        <v>40</v>
      </c>
      <c r="AD41" s="6" t="s">
        <v>124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6">
        <f>AK40+T_Chart[[#This Row],[ Total]]</f>
        <v>0.495</v>
      </c>
      <c r="AQ41"/>
      <c r="AR41"/>
      <c r="AS41"/>
    </row>
    <row r="42" spans="5:45" x14ac:dyDescent="0.2">
      <c r="E42" s="2"/>
      <c r="F42"/>
      <c r="G42"/>
      <c r="H42"/>
      <c r="I42"/>
      <c r="AC42" s="40">
        <v>41</v>
      </c>
      <c r="AD42" s="6" t="s">
        <v>125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6">
        <f>AK41+T_Chart[[#This Row],[ Total]]</f>
        <v>0.495</v>
      </c>
      <c r="AQ42"/>
      <c r="AR42"/>
      <c r="AS42"/>
    </row>
    <row r="43" spans="5:45" x14ac:dyDescent="0.2">
      <c r="E43" s="2"/>
      <c r="F43"/>
      <c r="G43"/>
      <c r="H43"/>
      <c r="I43"/>
      <c r="AC43" s="40">
        <v>42</v>
      </c>
      <c r="AD43" s="6" t="s">
        <v>126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6">
        <f>AK42+T_Chart[[#This Row],[ Total]]</f>
        <v>0.495</v>
      </c>
      <c r="AQ43"/>
      <c r="AR43"/>
      <c r="AS43"/>
    </row>
    <row r="44" spans="5:45" x14ac:dyDescent="0.2">
      <c r="E44" s="2"/>
      <c r="F44"/>
      <c r="G44"/>
      <c r="H44"/>
      <c r="I44"/>
      <c r="AC44" s="40">
        <v>43</v>
      </c>
      <c r="AD44" s="6" t="s">
        <v>127</v>
      </c>
      <c r="AE44" s="40">
        <v>0</v>
      </c>
      <c r="AF44" s="40">
        <v>0</v>
      </c>
      <c r="AG44" s="40">
        <v>0</v>
      </c>
      <c r="AH44" s="40">
        <v>0</v>
      </c>
      <c r="AI44" s="40">
        <v>0</v>
      </c>
      <c r="AJ44" s="40">
        <v>0</v>
      </c>
      <c r="AK44" s="6">
        <f>AK43+T_Chart[[#This Row],[ Total]]</f>
        <v>0.495</v>
      </c>
      <c r="AQ44"/>
      <c r="AR44"/>
      <c r="AS44"/>
    </row>
    <row r="45" spans="5:45" x14ac:dyDescent="0.2">
      <c r="E45" s="2"/>
      <c r="F45"/>
      <c r="G45"/>
      <c r="H45"/>
      <c r="I45"/>
      <c r="AC45" s="40">
        <v>44</v>
      </c>
      <c r="AD45" s="6" t="s">
        <v>128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6">
        <f>AK44+T_Chart[[#This Row],[ Total]]</f>
        <v>0.495</v>
      </c>
      <c r="AQ45"/>
      <c r="AR45"/>
      <c r="AS45"/>
    </row>
    <row r="46" spans="5:45" x14ac:dyDescent="0.2">
      <c r="E46" s="2"/>
      <c r="F46"/>
      <c r="G46"/>
      <c r="H46"/>
      <c r="I46"/>
      <c r="AC46" s="40">
        <v>45</v>
      </c>
      <c r="AD46" s="6" t="s">
        <v>129</v>
      </c>
      <c r="AE46" s="40">
        <v>0</v>
      </c>
      <c r="AF46" s="40">
        <v>0</v>
      </c>
      <c r="AG46" s="40">
        <v>0</v>
      </c>
      <c r="AH46" s="40">
        <v>0</v>
      </c>
      <c r="AI46" s="40">
        <v>0</v>
      </c>
      <c r="AJ46" s="40">
        <v>0</v>
      </c>
      <c r="AK46" s="6">
        <f>AK45+T_Chart[[#This Row],[ Total]]</f>
        <v>0.495</v>
      </c>
      <c r="AQ46"/>
      <c r="AR46"/>
      <c r="AS46"/>
    </row>
    <row r="47" spans="5:45" x14ac:dyDescent="0.2">
      <c r="E47" s="2"/>
      <c r="F47"/>
      <c r="G47"/>
      <c r="H47"/>
      <c r="I47"/>
      <c r="AC47" s="40">
        <v>46</v>
      </c>
      <c r="AD47" s="6" t="s">
        <v>130</v>
      </c>
      <c r="AE47" s="40">
        <v>0</v>
      </c>
      <c r="AF47" s="40">
        <v>0</v>
      </c>
      <c r="AG47" s="40">
        <v>0</v>
      </c>
      <c r="AH47" s="40">
        <v>0</v>
      </c>
      <c r="AI47" s="40">
        <v>0</v>
      </c>
      <c r="AJ47" s="40">
        <v>0</v>
      </c>
      <c r="AK47" s="6">
        <f>AK46+T_Chart[[#This Row],[ Total]]</f>
        <v>0.495</v>
      </c>
      <c r="AQ47"/>
      <c r="AR47"/>
      <c r="AS47"/>
    </row>
    <row r="48" spans="5:45" x14ac:dyDescent="0.2">
      <c r="E48" s="2"/>
      <c r="F48"/>
      <c r="G48"/>
      <c r="H48"/>
      <c r="I48"/>
      <c r="AC48" s="40">
        <v>47</v>
      </c>
      <c r="AD48" s="6" t="s">
        <v>131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K48" s="6">
        <f>AK47+T_Chart[[#This Row],[ Total]]</f>
        <v>0.495</v>
      </c>
      <c r="AQ48"/>
      <c r="AR48"/>
      <c r="AS48"/>
    </row>
    <row r="49" spans="5:45" x14ac:dyDescent="0.2">
      <c r="E49" s="2"/>
      <c r="F49"/>
      <c r="G49"/>
      <c r="H49"/>
      <c r="I49"/>
      <c r="AC49" s="40">
        <v>48</v>
      </c>
      <c r="AD49" s="6" t="s">
        <v>132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6">
        <f>AK48+T_Chart[[#This Row],[ Total]]</f>
        <v>0.495</v>
      </c>
      <c r="AQ49"/>
      <c r="AR49"/>
      <c r="AS49"/>
    </row>
    <row r="50" spans="5:45" x14ac:dyDescent="0.2">
      <c r="E50" s="2"/>
      <c r="F50"/>
      <c r="G50"/>
      <c r="H50"/>
      <c r="I50"/>
      <c r="AC50" s="40">
        <v>49</v>
      </c>
      <c r="AD50" s="6" t="s">
        <v>133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6">
        <f>AK49+T_Chart[[#This Row],[ Total]]</f>
        <v>0.495</v>
      </c>
      <c r="AQ50"/>
      <c r="AR50"/>
      <c r="AS50"/>
    </row>
    <row r="51" spans="5:45" x14ac:dyDescent="0.2">
      <c r="E51" s="2"/>
      <c r="F51"/>
      <c r="G51"/>
      <c r="H51"/>
      <c r="I51"/>
      <c r="AC51" s="40">
        <v>50</v>
      </c>
      <c r="AD51" s="6" t="s">
        <v>134</v>
      </c>
      <c r="AE51" s="40">
        <v>0</v>
      </c>
      <c r="AF51" s="40">
        <v>0</v>
      </c>
      <c r="AG51" s="40">
        <v>0</v>
      </c>
      <c r="AH51" s="40">
        <v>0</v>
      </c>
      <c r="AI51" s="40">
        <v>0</v>
      </c>
      <c r="AJ51" s="40">
        <v>0</v>
      </c>
      <c r="AK51" s="6">
        <f>AK50+T_Chart[[#This Row],[ Total]]</f>
        <v>0.495</v>
      </c>
      <c r="AQ51"/>
      <c r="AR51"/>
      <c r="AS51"/>
    </row>
    <row r="52" spans="5:45" x14ac:dyDescent="0.2">
      <c r="E52" s="2"/>
      <c r="F52"/>
      <c r="G52"/>
      <c r="H52"/>
      <c r="I52"/>
      <c r="AC52" s="40">
        <v>51</v>
      </c>
      <c r="AD52" s="6" t="s">
        <v>135</v>
      </c>
      <c r="AE52" s="40">
        <v>0</v>
      </c>
      <c r="AF52" s="40">
        <v>0.7</v>
      </c>
      <c r="AG52" s="40">
        <v>0</v>
      </c>
      <c r="AH52" s="40">
        <v>0</v>
      </c>
      <c r="AI52" s="40">
        <v>0</v>
      </c>
      <c r="AJ52" s="40">
        <v>0.7</v>
      </c>
      <c r="AK52" s="6">
        <f>AK51+T_Chart[[#This Row],[ Total]]</f>
        <v>0.495</v>
      </c>
      <c r="AQ52"/>
      <c r="AR52"/>
      <c r="AS52"/>
    </row>
    <row r="53" spans="5:45" x14ac:dyDescent="0.2">
      <c r="E53" s="2"/>
      <c r="F53"/>
      <c r="G53"/>
      <c r="H53"/>
      <c r="I53"/>
      <c r="AC53" s="40">
        <v>52</v>
      </c>
      <c r="AD53" s="6" t="s">
        <v>86</v>
      </c>
      <c r="AE53" s="40">
        <v>0</v>
      </c>
      <c r="AF53" s="40">
        <v>0</v>
      </c>
      <c r="AG53" s="40">
        <v>0</v>
      </c>
      <c r="AH53" s="40">
        <v>-0.5</v>
      </c>
      <c r="AI53" s="40">
        <v>0</v>
      </c>
      <c r="AJ53" s="40">
        <v>-0.5</v>
      </c>
      <c r="AK53" s="6">
        <f>AK52+T_Chart[[#This Row],[ Total]]</f>
        <v>0.495</v>
      </c>
      <c r="AQ53"/>
      <c r="AR53"/>
      <c r="AS53"/>
    </row>
    <row r="54" spans="5:45" x14ac:dyDescent="0.2">
      <c r="E54" s="2"/>
      <c r="F54"/>
      <c r="G54"/>
      <c r="H54"/>
      <c r="I54"/>
      <c r="AC54" s="40">
        <v>53</v>
      </c>
      <c r="AD54" s="6" t="s">
        <v>136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6">
        <f>AK53+T_Chart[[#This Row],[ Total]]</f>
        <v>0.495</v>
      </c>
      <c r="AQ54"/>
      <c r="AR54"/>
      <c r="AS54"/>
    </row>
  </sheetData>
  <phoneticPr fontId="1" type="noConversion"/>
  <pageMargins left="0.25" right="0.25" top="0.75" bottom="0.75" header="0.3" footer="0.3"/>
  <pageSetup paperSize="9" scale="58" orientation="landscape" r:id="rId1"/>
  <drawing r:id="rId2"/>
  <picture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8 1 0 1 a c - 1 7 e 3 - 4 3 d 0 - a d f 8 - b 8 7 a e 7 c 4 f 9 9 a "   x m l n s = " h t t p : / / s c h e m a s . m i c r o s o f t . c o m / D a t a M a s h u p " > A A A A A G A H A A B Q S w M E F A A C A A g A m Y r 8 W A D B 3 / 6 l A A A A 9 g A A A B I A H A B D b 2 5 m a W c v U G F j a 2 F n Z S 5 4 b W w g o h g A K K A U A A A A A A A A A A A A A A A A A A A A A A A A A A A A h Y 8 x D o I w G I W v Q r r T l h K j I T 9 l c D K R x G h i X J t S o R G K o c V y N w e P 5 B X E K O r m + L 7 3 D e / d r z f I h q Y O L q q z u j U p i j B F g T K y L b Q p U 9 S 7 Y 7 h A G Y e N k C d R q m C U j U 0 G W 6 S o c u 6 c E O K 9 x z 7 G b V c S R m l E D v l 6 J y v V C P S R 9 X 8 5 1 M Y 6 Y a R C H P a v M Z z h K K Z 4 x u a Y A p k g 5 N p 8 B T b u f b Y / E J Z 9 7 f p O 8 a M I V 1 s g U w T y / s A f U E s D B B Q A A g A I A J m K /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i v x Y U 1 d N H 1 k E A A B h I Q A A E w A c A E Z v c m 1 1 b G F z L 1 N l Y 3 R p b 2 4 x L m 0 g o h g A K K A U A A A A A A A A A A A A A A A A A A A A A A A A A A A A 7 V l d b 9 s 2 F H 0 3 k P 8 g K A + T G z m z P t x 2 G P q Q u d 0 w o E u N x G 0 f D K O Q F W 4 R I o k G R U U 1 D P / 3 k r y y R V p U / N V h H S I D A U N K O p e 8 9 5 w j U c p Q S C O c G r f Q O r + e d c 4 6 2 X 1 A 0 J 1 x b o 6 D W R 4 H 5 M I 0 3 h g x o m c d g / 1 u c U 5 C x E b e f Q 1 R f D n M C U E p / Y z J w w z j B 6 u 7 n F w H C X p j j r / c o B B F j 8 i c r i Z D n F J 2 1 t Q G j H P z B i X 4 k Q U Z 4 j h P 0 o x H Y N F i d A k H y m E L g t l L 8 y r B e U p N 2 z B v 8 y Q J y M L o O 0 r P V X q e 0 v O V 3 k D p v V R 6 r 5 T e a 6 X 3 i 9 x z + k p P m Y s j 5 v I H w f n c X H V r S / 4 N U 4 o T 4 w Y X t W W / D z J 6 b d W z Y z s y z D w O Q n b w U x D n S E Y Q 4 2 L U 0 k e z 0 z y O 7 b 5 d n k q U a 1 i S C 5 h 5 4 X j Q + N A M o H k J z S t o X k M j k l K 4 f W g c a A D F B R Q X U F x A c Q H F B R Q X U F x A 8 Q D F A x Q P U D x A 8 Q D F A x Q P U D x A 8 Q D F A x Q f U H x A 8 Q H F B x Q f U H x A 8 Q H F B x Q f U H x A G Q D K A F A G g A K U K / p l D z C B X Q X Q q g A + F U C k A h h U A H U K 4 E w B Z G G 5 / k l m x 8 d 0 H j 1 i y i r 2 g d 4 j U h d G e Y I 4 u p Z H j Q 2 2 s T T H E Y 2 R u W I x r i g l 0 S y n f N y E E 5 p 4 5 D Q S q W l i t l m w P 7 N G p j H 6 S r l g N 7 F X T T H d J 8 i r z o 1 x V l C 3 i b i w N i V Q y k x I a y / 8 Q F P + W G G X S z V t n x F 6 u M Y 8 n e s w P L H g R i s p 4 t X d H Y + X Z 0 x t V T g 2 C r G s + p w 2 O N Z f 4 y 7 r o S C 8 N y Y w N P 3 Z 6 c O v e 9 a J U m 0 Q r V f 3 S q 8 + 0 K p H w U K x 6 e f n 0 t / X p I 9 W s 8 a 0 j 5 X 0 v 6 r o z m l C O 1 x n Z b z h f Z D + w 1 D G i 7 n s H 2 M S p N n f m C Q Q k B / N d J J b S h w F O Y S L S 3 6 2 F G K 3 k t V J 7 K n j i m G Y 3 C G i z 5 k 4 V C V N m Y q 9 5 k G V r S p F 6 i R W X W Y a j f G 0 x m F d d I + z j v I p 7 3 d M U M i U 0 d p I a y O t j T x f G + k d a S P s C U R r I Q 0 b R m e n i T R J c o c J a S L 9 / x y p N a L W i J 6 r E R 3 7 t q o 0 s O / 5 0 m q z v H X d Z W r v n 7 W a M J c i X 3 + + 1 W W u z N c m k L B B d r G q f D F q 6 a b B + V p D 5 y x m j h p E 6 Z o P 7 6 O M X j L H s S b n c u B p 1 z Y o Y 5 H B t + s 8 E v s n m S H C 6 C j v Y 5 V J q e X r n V a + 7 Y 3 s d u k a 7 O s W x S i k t Q J W i V A U s U n L a f X c c q v / q K p D n N H 9 q 3 p Y M a t N x W l q H L V y 1 M t x t G / l g n R x Q N l 6 J 5 a N q f D p k r U y 1 M l w 7 2 o e p k N W h T D O M / 6 d R 1 d U m P Q Q J 7 M o R d a S 3 0 F t Y c R 2 q W C 7 p M S e C y / L 1 r x U 3 V 2 E k 7 n x 5 s G x 5 g T 1 c K 5 x K p 6 4 J 6 / U q k S I R 1 G H F E R z v i j P E 3 e 3 A 9 4 D K 7 l j u Z F W 1 X N e s I q v l z r V o 7 p 6 W P X Z S s C O K l z j h V E h j 2 T o v f d F 6 h x s u S Q V c O P L / p 0 f q j Y a 2 f G R S r C n T F p Z W 3 M 7 t D x V R 5 + u 2 o c T 0 x h j G s S b B 1 7 G x 4 s J A 2 6 o g r e 7 C m J X J k B H E u p o a l w Y H J j R q e n d v r d l y J K C L b f B m 1 s Z t z J u Z f y j y f g b U E s B A i 0 A F A A C A A g A m Y r 8 W A D B 3 / 6 l A A A A 9 g A A A B I A A A A A A A A A A A A A A A A A A A A A A E N v b m Z p Z y 9 Q Y W N r Y W d l L n h t b F B L A Q I t A B Q A A g A I A J m K / F g P y u m r p A A A A O k A A A A T A A A A A A A A A A A A A A A A A P E A A A B b Q 2 9 u d G V u d F 9 U e X B l c 1 0 u e G 1 s U E s B A i 0 A F A A C A A g A m Y r 8 W F N X T R 9 Z B A A A Y S E A A B M A A A A A A A A A A A A A A A A A 4 g E A A E Z v c m 1 1 b G F z L 1 N l Y 3 R p b 2 4 x L m 1 Q S w U G A A A A A A M A A w D C A A A A i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3 U A A A A A A A C p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d W x h c i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V F 9 U Y W J 1 b G F y U G F 5 I i A v P j x F b n R y e S B U e X B l P S J G a W x s Z W R D b 2 1 w b G V 0 Z V J l c 3 V s d F R v V 2 9 y a 3 N o Z W V 0 I i B W Y W x 1 Z T 0 i b D E i I C 8 + P E V u d H J 5 I F R 5 c G U 9 I l F 1 Z X J 5 S U Q i I F Z h b H V l P S J z M z R m N W M y N j Y t Y z V h O S 0 0 Y 2 I 1 L T k 4 N z E t M 2 E 0 N 2 Y y Y W Q z Y W Z i I i A v P j x F b n R y e S B U e X B l P S J G a W x s R X J y b 3 J D b 3 V u d C I g V m F s d W U 9 I m w w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Q 2 9 1 b n Q i I F Z h b H V l P S J s M i I g L z 4 8 R W 5 0 c n k g V H l w Z T 0 i R m l s b E x h c 3 R V c G R h d G V k I i B W Y W x 1 Z T 0 i Z D I w M j Q t M D c t M j h U M T I 6 N T c 6 M T A u N D g 5 O T M 0 M V o i I C 8 + P E V u d H J 5 I F R 5 c G U 9 I k Z p b G x D b 2 x 1 b W 5 U e X B l c y I g V m F s d W U 9 I n N B Q V l S Q U E 9 P S I g L z 4 8 R W 5 0 c n k g V H l w Z T 0 i Q W R k Z W R U b 0 R h d G F N b 2 R l b C I g V m F s d W U 9 I m w w I i A v P j x F b n R y e S B U e X B l P S J G a W x s Q 2 9 s d W 1 u T m F t Z X M i I F Z h b H V l P S J z W y Z x d W 9 0 O 1 R p d G x l J n F 1 b 3 Q 7 L C Z x d W 9 0 O 1 d l Z W t O b y Z x d W 9 0 O y w m c X V v d D t B b W 9 1 b n Q m c X V v d D s s J n F 1 b 3 Q 7 Q W 1 v d W 5 0 K E 1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s Y X I t L 0 F 1 d G 9 S Z W 1 v d m V k Q 2 9 s d W 1 u c z E u e 1 R p d G x l L D B 9 J n F 1 b 3 Q 7 L C Z x d W 9 0 O 1 N l Y 3 R p b 2 4 x L 1 R h Y n V s Y X I t L 0 F 1 d G 9 S Z W 1 v d m V k Q 2 9 s d W 1 u c z E u e 1 d l Z W t O b y w x f S Z x d W 9 0 O y w m c X V v d D t T Z W N 0 a W 9 u M S 9 U Y W J 1 b G F y L S 9 B d X R v U m V t b 3 Z l Z E N v b H V t b n M x L n t B b W 9 1 b n Q s M n 0 m c X V v d D s s J n F 1 b 3 Q 7 U 2 V j d G l v b j E v V G F i d W x h c i 0 v Q X V 0 b 1 J l b W 9 2 Z W R D b 2 x 1 b W 5 z M S 5 7 Q W 1 v d W 5 0 K E 1 U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1 b G F y L S 9 B d X R v U m V t b 3 Z l Z E N v b H V t b n M x L n t U a X R s Z S w w f S Z x d W 9 0 O y w m c X V v d D t T Z W N 0 a W 9 u M S 9 U Y W J 1 b G F y L S 9 B d X R v U m V t b 3 Z l Z E N v b H V t b n M x L n t X Z W V r T m 8 s M X 0 m c X V v d D s s J n F 1 b 3 Q 7 U 2 V j d G l v b j E v V G F i d W x h c i 0 v Q X V 0 b 1 J l b W 9 2 Z W R D b 2 x 1 b W 5 z M S 5 7 Q W 1 v d W 5 0 L D J 9 J n F 1 b 3 Q 7 L C Z x d W 9 0 O 1 N l Y 3 R p b 2 4 x L 1 R h Y n V s Y X I t L 0 F 1 d G 9 S Z W 1 v d m V k Q 2 9 s d W 1 u c z E u e 0 F t b 3 V u d C h N V C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n V s Y X I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L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t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t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F 9 U Y W J 1 b G F y U m V j Z W l 2 Z S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U X V l c n l J R C I g V m F s d W U 9 I n M 3 Y z l i N z Q 0 Z i 0 5 M D I 4 L T R l M G I t O T Y 1 N i 1 l Y m Q 4 M T U w Z G J j N z k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j h U M T I 6 N T c 6 M T E u N T Y 1 N z Q w O F o i I C 8 + P E V u d H J 5 I F R 5 c G U 9 I k Z p b G x D b 2 x 1 b W 5 U e X B l c y I g V m F s d W U 9 I n N B Q V l B Q U E 9 P S I g L z 4 8 R W 5 0 c n k g V H l w Z T 0 i R m l s b E N v b H V t b k 5 h b W V z I i B W Y W x 1 Z T 0 i c 1 s m c X V v d D t U a X R s Z S Z x d W 9 0 O y w m c X V v d D t X Z W V r T m 8 m c X V v d D s s J n F 1 b 3 Q 7 Q W 1 v d W 5 0 J n F 1 b 3 Q 7 L C Z x d W 9 0 O 0 F t b 3 V u d C h N V C k m c X V v d D t d I i A v P j x F b n R y e S B U e X B l P S J G a W x s Q 2 9 1 b n Q i I F Z h b H V l P S J s N T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d W x h c i s v Q X V 0 b 1 J l b W 9 2 Z W R D b 2 x 1 b W 5 z M S 5 7 V G l 0 b G U s M H 0 m c X V v d D s s J n F 1 b 3 Q 7 U 2 V j d G l v b j E v V G F i d W x h c i s v Q X V 0 b 1 J l b W 9 2 Z W R D b 2 x 1 b W 5 z M S 5 7 V 2 V l a 0 5 v L D F 9 J n F 1 b 3 Q 7 L C Z x d W 9 0 O 1 N l Y 3 R p b 2 4 x L 1 R h Y n V s Y X I r L 0 F 1 d G 9 S Z W 1 v d m V k Q 2 9 s d W 1 u c z E u e 0 F t b 3 V u d C w y f S Z x d W 9 0 O y w m c X V v d D t T Z W N 0 a W 9 u M S 9 U Y W J 1 b G F y K y 9 B d X R v U m V t b 3 Z l Z E N v b H V t b n M x L n t B b W 9 1 b n Q o T V Q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n V s Y X I r L 0 F 1 d G 9 S Z W 1 v d m V k Q 2 9 s d W 1 u c z E u e 1 R p d G x l L D B 9 J n F 1 b 3 Q 7 L C Z x d W 9 0 O 1 N l Y 3 R p b 2 4 x L 1 R h Y n V s Y X I r L 0 F 1 d G 9 S Z W 1 v d m V k Q 2 9 s d W 1 u c z E u e 1 d l Z W t O b y w x f S Z x d W 9 0 O y w m c X V v d D t T Z W N 0 a W 9 u M S 9 U Y W J 1 b G F y K y 9 B d X R v U m V t b 3 Z l Z E N v b H V t b n M x L n t B b W 9 1 b n Q s M n 0 m c X V v d D s s J n F 1 b 3 Q 7 U 2 V j d G l v b j E v V G F i d W x h c i s v Q X V 0 b 1 J l b W 9 2 Z W R D b 2 x 1 b W 5 z M S 5 7 Q W 1 v d W 5 0 K E 1 U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d W x h c i U y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J T J C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J T J C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0 L T A 3 L T I 4 V D E y O j U 3 O j A 4 L j I 5 O D I 1 N D J a I i A v P j x F b n R y e S B U e X B l P S J G a W x s V G F y Z 2 V 0 I i B W Y W x 1 Z T 0 i c 1 R f Q 2 h h c n Q i I C 8 + P E V u d H J 5 I F R 5 c G U 9 I k Z p b G x l Z E N v b X B s Z X R l U m V z d W x 0 V G 9 X b 3 J r c 2 h l Z X Q i I F Z h b H V l P S J s M S I g L z 4 8 R W 5 0 c n k g V H l w Z T 0 i R m l s b F R h c m d l d E 5 h b W V D d X N 0 b 2 1 p e m V k I i B W Y W x 1 Z T 0 i b D E i I C 8 + P E V u d H J 5 I F R 5 c G U 9 I l F 1 Z X J 5 S U Q i I F Z h b H V l P S J z Z j c 0 M z g z O G U t N G N j O S 0 0 M z Z j L W E w N m Y t Z D Q 1 Y W M 0 O G Q w M T V h I i A v P j x F b n R y e S B U e X B l P S J G a W x s Q 2 9 s d W 1 u V H l w Z X M i I F Z h b H V l P S J z Q U F B R k F B Q U F B Q U E 9 I i A v P j x F b n R y e S B U e X B l P S J G a W x s Q 2 9 s d W 1 u T m F t Z X M i I F Z h b H V l P S J z W y Z x d W 9 0 O 1 d l Z W t J R C Z x d W 9 0 O y w m c X V v d D t X Z W V r T m 8 m c X V v d D s s J n F 1 b 3 Q 7 a W 4 m c X V v d D s s J n F 1 b 3 Q 7 a W 5 Q J n F 1 b 3 Q 7 L C Z x d W 9 0 O 2 9 1 d C Z x d W 9 0 O y w m c X V v d D t v d X R Q J n F 1 b 3 Q 7 L C Z x d W 9 0 O y B U b 3 R h b C Z x d W 9 0 O y w m c X V v d D t U b 3 R h b F A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m N s d X N p b 2 4 v Q X V 0 b 1 J l b W 9 2 Z W R D b 2 x 1 b W 5 z M S 5 7 V 2 V l a 0 l E L D B 9 J n F 1 b 3 Q 7 L C Z x d W 9 0 O 1 N l Y 3 R p b 2 4 x L 0 N v b m N s d X N p b 2 4 v Q X V 0 b 1 J l b W 9 2 Z W R D b 2 x 1 b W 5 z M S 5 7 V 2 V l a 0 5 v L D F 9 J n F 1 b 3 Q 7 L C Z x d W 9 0 O 1 N l Y 3 R p b 2 4 x L 0 N v b m N s d X N p b 2 4 v Q X V 0 b 1 J l b W 9 2 Z W R D b 2 x 1 b W 5 z M S 5 7 a W 4 s M n 0 m c X V v d D s s J n F 1 b 3 Q 7 U 2 V j d G l v b j E v Q 2 9 u Y 2 x 1 c 2 l v b i 9 B d X R v U m V t b 3 Z l Z E N v b H V t b n M x L n t p b l A s M 3 0 m c X V v d D s s J n F 1 b 3 Q 7 U 2 V j d G l v b j E v Q 2 9 u Y 2 x 1 c 2 l v b i 9 B d X R v U m V t b 3 Z l Z E N v b H V t b n M x L n t v d X Q s N H 0 m c X V v d D s s J n F 1 b 3 Q 7 U 2 V j d G l v b j E v Q 2 9 u Y 2 x 1 c 2 l v b i 9 B d X R v U m V t b 3 Z l Z E N v b H V t b n M x L n t v d X R Q L D V 9 J n F 1 b 3 Q 7 L C Z x d W 9 0 O 1 N l Y 3 R p b 2 4 x L 0 N v b m N s d X N p b 2 4 v Q X V 0 b 1 J l b W 9 2 Z W R D b 2 x 1 b W 5 z M S 5 7 I F R v d G F s L D Z 9 J n F 1 b 3 Q 7 L C Z x d W 9 0 O 1 N l Y 3 R p b 2 4 x L 0 N v b m N s d X N p b 2 4 v Q X V 0 b 1 J l b W 9 2 Z W R D b 2 x 1 b W 5 z M S 5 7 V G 9 0 Y W x Q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m N s d X N p b 2 4 v Q X V 0 b 1 J l b W 9 2 Z W R D b 2 x 1 b W 5 z M S 5 7 V 2 V l a 0 l E L D B 9 J n F 1 b 3 Q 7 L C Z x d W 9 0 O 1 N l Y 3 R p b 2 4 x L 0 N v b m N s d X N p b 2 4 v Q X V 0 b 1 J l b W 9 2 Z W R D b 2 x 1 b W 5 z M S 5 7 V 2 V l a 0 5 v L D F 9 J n F 1 b 3 Q 7 L C Z x d W 9 0 O 1 N l Y 3 R p b 2 4 x L 0 N v b m N s d X N p b 2 4 v Q X V 0 b 1 J l b W 9 2 Z W R D b 2 x 1 b W 5 z M S 5 7 a W 4 s M n 0 m c X V v d D s s J n F 1 b 3 Q 7 U 2 V j d G l v b j E v Q 2 9 u Y 2 x 1 c 2 l v b i 9 B d X R v U m V t b 3 Z l Z E N v b H V t b n M x L n t p b l A s M 3 0 m c X V v d D s s J n F 1 b 3 Q 7 U 2 V j d G l v b j E v Q 2 9 u Y 2 x 1 c 2 l v b i 9 B d X R v U m V t b 3 Z l Z E N v b H V t b n M x L n t v d X Q s N H 0 m c X V v d D s s J n F 1 b 3 Q 7 U 2 V j d G l v b j E v Q 2 9 u Y 2 x 1 c 2 l v b i 9 B d X R v U m V t b 3 Z l Z E N v b H V t b n M x L n t v d X R Q L D V 9 J n F 1 b 3 Q 7 L C Z x d W 9 0 O 1 N l Y 3 R p b 2 4 x L 0 N v b m N s d X N p b 2 4 v Q X V 0 b 1 J l b W 9 2 Z W R D b 2 x 1 b W 5 z M S 5 7 I F R v d G F s L D Z 9 J n F 1 b 3 Q 7 L C Z x d W 9 0 O 1 N l Y 3 R p b 2 4 x L 0 N v b m N s d X N p b 2 4 v Q X V 0 b 1 J l b W 9 2 Z W R D b 2 x 1 b W 5 z M S 5 7 V G 9 0 Y W x Q L D d 9 J n F 1 b 3 Q 7 X S w m c X V v d D t S Z W x h d G l v b n N o a X B J b m Z v J n F 1 b 3 Q 7 O l t d f S I g L z 4 8 R W 5 0 c n k g V H l w Z T 0 i R m l s b E N v d W 5 0 I i B W Y W x 1 Z T 0 i b D U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u Y 2 x 1 c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L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L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2 V l a 0 l E J n F 1 b 3 Q 7 L C Z x d W 9 0 O 1 d l Z W t O b y Z x d W 9 0 O y w m c X V v d D t H Y W l u J n F 1 b 3 Q 7 X S I g L z 4 8 R W 5 0 c n k g V H l w Z T 0 i R m l s b E N v b H V t b l R 5 c G V z I i B W Y W x 1 Z T 0 i c 0 F B Q U Y i I C 8 + P E V u d H J 5 I F R 5 c G U 9 I k Z p b G x M Y X N 0 V X B k Y X R l Z C I g V m F s d W U 9 I m Q y M D I 0 L T A 3 L T I 4 V D E y O j U 3 O j A 3 L j g 2 N z Q w N T J a I i A v P j x F b n R y e S B U e X B l P S J R d W V y e U l E I i B W Y W x 1 Z T 0 i c 2 U y M D B j Z T U y L T U y Z T I t N D N i Z C 1 h O T M 3 L W R l N G E x N D R h M G R j Z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p b i 9 B d X R v U m V t b 3 Z l Z E N v b H V t b n M x L n t X Z W V r S U Q s M H 0 m c X V v d D s s J n F 1 b 3 Q 7 U 2 V j d G l v b j E v R 2 F p b i 9 B d X R v U m V t b 3 Z l Z E N v b H V t b n M x L n t X Z W V r T m 8 s M X 0 m c X V v d D s s J n F 1 b 3 Q 7 U 2 V j d G l v b j E v R 2 F p b i 9 B d X R v U m V t b 3 Z l Z E N v b H V t b n M x L n t H Y W l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h a W 4 v Q X V 0 b 1 J l b W 9 2 Z W R D b 2 x 1 b W 5 z M S 5 7 V 2 V l a 0 l E L D B 9 J n F 1 b 3 Q 7 L C Z x d W 9 0 O 1 N l Y 3 R p b 2 4 x L 0 d h a W 4 v Q X V 0 b 1 J l b W 9 2 Z W R D b 2 x 1 b W 5 z M S 5 7 V 2 V l a 0 5 v L D F 9 J n F 1 b 3 Q 7 L C Z x d W 9 0 O 1 N l Y 3 R p b 2 4 x L 0 d h a W 4 v Q X V 0 b 1 J l b W 9 2 Z W R D b 2 x 1 b W 5 z M S 5 7 R 2 F p b i w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U y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k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k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Q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c t M j h U M T I 6 N T c 6 M D c u O T U y M T c 5 N l o i I C 8 + P E V u d H J 5 I F R 5 c G U 9 I k Z p b G x D b 2 x 1 b W 5 U e X B l c y I g V m F s d W U 9 I n N B Q U F G Q U E 9 P S I g L z 4 8 R W 5 0 c n k g V H l w Z T 0 i R m l s b E N v b H V t b k 5 h b W V z I i B W Y W x 1 Z T 0 i c 1 s m c X V v d D t X Z W V r S U Q m c X V v d D s s J n F 1 b 3 Q 7 V 2 V l a 0 5 v J n F 1 b 3 Q 7 L C Z x d W 9 0 O 0 Z p e G V k U 3 V t J n F 1 b 3 Q 7 L C Z x d W 9 0 O 0 5 v d E Z p e G V k U 3 V t J n F 1 b 3 Q 7 X S I g L z 4 8 R W 5 0 c n k g V H l w Z T 0 i R m l s b F N 0 Y X R 1 c y I g V m F s d W U 9 I n N D b 2 1 w b G V 0 Z S I g L z 4 8 R W 5 0 c n k g V H l w Z T 0 i U X V l c n l J R C I g V m F s d W U 9 I n M 5 M j U y Y z A x O S 0 w M j U y L T Q 1 M D E t O T c 0 N i 0 x Y T Q 1 Z G V k Y T A 1 Y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b G x X Z W V r Q 2 h h c n R C e U Z p e C 9 B d X R v U m V t b 3 Z l Z E N v b H V t b n M x L n t X Z W V r S U Q s M H 0 m c X V v d D s s J n F 1 b 3 Q 7 U 2 V j d G l v b j E v R n V s b F d l Z W t D a G F y d E J 5 R m l 4 L 0 F 1 d G 9 S Z W 1 v d m V k Q 2 9 s d W 1 u c z E u e 1 d l Z W t O b y w x f S Z x d W 9 0 O y w m c X V v d D t T Z W N 0 a W 9 u M S 9 G d W x s V 2 V l a 0 N o Y X J 0 Q n l G a X g v Q X V 0 b 1 J l b W 9 2 Z W R D b 2 x 1 b W 5 z M S 5 7 R m l 4 Z W R T d W 0 s M n 0 m c X V v d D s s J n F 1 b 3 Q 7 U 2 V j d G l v b j E v R n V s b F d l Z W t D a G F y d E J 5 R m l 4 L 0 F 1 d G 9 S Z W 1 v d m V k Q 2 9 s d W 1 u c z E u e 0 5 v d E Z p e G V k U 3 V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b G x X Z W V r Q 2 h h c n R C e U Z p e C 9 B d X R v U m V t b 3 Z l Z E N v b H V t b n M x L n t X Z W V r S U Q s M H 0 m c X V v d D s s J n F 1 b 3 Q 7 U 2 V j d G l v b j E v R n V s b F d l Z W t D a G F y d E J 5 R m l 4 L 0 F 1 d G 9 S Z W 1 v d m V k Q 2 9 s d W 1 u c z E u e 1 d l Z W t O b y w x f S Z x d W 9 0 O y w m c X V v d D t T Z W N 0 a W 9 u M S 9 G d W x s V 2 V l a 0 N o Y X J 0 Q n l G a X g v Q X V 0 b 1 J l b W 9 2 Z W R D b 2 x 1 b W 5 z M S 5 7 R m l 4 Z W R T d W 0 s M n 0 m c X V v d D s s J n F 1 b 3 Q 7 U 2 V j d G l v b j E v R n V s b F d l Z W t D a G F y d E J 5 R m l 4 L 0 F 1 d G 9 S Z W 1 v d m V k Q 2 9 s d W 1 u c z E u e 0 5 v d E Z p e G V k U 3 V t L D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L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R f V G F i d W x h c l B h e V A i I C 8 + P E V u d H J 5 I F R 5 c G U 9 I k Z p b G x l Z E N v b X B s Z X R l U m V z d W x 0 V G 9 X b 3 J r c 2 h l Z X Q i I F Z h b H V l P S J s M S I g L z 4 8 R W 5 0 c n k g V H l w Z T 0 i R m l s b E N v b H V t b l R 5 c G V z I i B W Y W x 1 Z T 0 i c 0 F B W V J B Q T 0 9 I i A v P j x F b n R y e S B U e X B l P S J R d W V y e U l E I i B W Y W x 1 Z T 0 i c 2 I w M m N k M T Z k L T B m Z T Q t N D B m O C 1 h O G Q y L T U 1 Y m I 1 M m Q y O G F k N S I g L z 4 8 R W 5 0 c n k g V H l w Z T 0 i R m l s b E N v b H V t b k 5 h b W V z I i B W Y W x 1 Z T 0 i c 1 s m c X V v d D t U a X R s Z S Z x d W 9 0 O y w m c X V v d D t X Z W V r T m 8 m c X V v d D s s J n F 1 b 3 Q 7 Q W 1 v d W 5 0 J n F 1 b 3 Q 7 L C Z x d W 9 0 O 0 F t b 3 V u d C h N V C k m c X V v d D t d I i A v P j x F b n R y e S B U e X B l P S J G a W x s V G F y Z 2 V 0 T m F t Z U N 1 c 3 R v b W l 6 Z W Q i I F Z h b H V l P S J s M S I g L z 4 8 R W 5 0 c n k g V H l w Z T 0 i R m l s b F N 0 Y X R 1 c y I g V m F s d W U 9 I n N D b 2 1 w b G V 0 Z S I g L z 4 8 R W 5 0 c n k g V H l w Z T 0 i R m l s b E N v d W 5 0 I i B W Y W x 1 Z T 0 i b D U i I C 8 + P E V u d H J 5 I F R 5 c G U 9 I k Z p b G x M Y X N 0 V X B k Y X R l Z C I g V m F s d W U 9 I m Q y M D I 0 L T A 3 L T I 4 V D E y O j U 3 O j A 5 L j Q 0 N j E 4 N T d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F y K C 0 p L 0 F 1 d G 9 S Z W 1 v d m V k Q 2 9 s d W 1 u c z E u e 1 R p d G x l L D B 9 J n F 1 b 3 Q 7 L C Z x d W 9 0 O 1 N l Y 3 R p b 2 4 x L 1 R h Y n V s Y X I o L S k v Q X V 0 b 1 J l b W 9 2 Z W R D b 2 x 1 b W 5 z M S 5 7 V 2 V l a 0 5 v L D F 9 J n F 1 b 3 Q 7 L C Z x d W 9 0 O 1 N l Y 3 R p b 2 4 x L 1 R h Y n V s Y X I o L S k v Q X V 0 b 1 J l b W 9 2 Z W R D b 2 x 1 b W 5 z M S 5 7 Q W 1 v d W 5 0 L D J 9 J n F 1 b 3 Q 7 L C Z x d W 9 0 O 1 N l Y 3 R p b 2 4 x L 1 R h Y n V s Y X I o L S k v Q X V 0 b 1 J l b W 9 2 Z W R D b 2 x 1 b W 5 z M S 5 7 Q W 1 v d W 5 0 K E 1 U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1 b G F y K C 0 p L 0 F 1 d G 9 S Z W 1 v d m V k Q 2 9 s d W 1 u c z E u e 1 R p d G x l L D B 9 J n F 1 b 3 Q 7 L C Z x d W 9 0 O 1 N l Y 3 R p b 2 4 x L 1 R h Y n V s Y X I o L S k v Q X V 0 b 1 J l b W 9 2 Z W R D b 2 x 1 b W 5 z M S 5 7 V 2 V l a 0 5 v L D F 9 J n F 1 b 3 Q 7 L C Z x d W 9 0 O 1 N l Y 3 R p b 2 4 x L 1 R h Y n V s Y X I o L S k v Q X V 0 b 1 J l b W 9 2 Z W R D b 2 x 1 b W 5 z M S 5 7 Q W 1 v d W 5 0 L D J 9 J n F 1 b 3 Q 7 L C Z x d W 9 0 O 1 N l Y 3 R p b 2 4 x L 1 R h Y n V s Y X I o L S k v Q X V 0 b 1 J l b W 9 2 Z W R D b 2 x 1 b W 5 z M S 5 7 Q W 1 v d W 5 0 K E 1 U K S w z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1 b G F y K C 0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L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t K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t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0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t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g l M k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R f V G F i d W x h c l J l Y 2 V p d m V Q I i A v P j x F b n R y e S B U e X B l P S J G a W x s Z W R D b 2 1 w b G V 0 Z V J l c 3 V s d F R v V 2 9 y a 3 N o Z W V 0 I i B W Y W x 1 Z T 0 i b D E i I C 8 + P E V u d H J 5 I F R 5 c G U 9 I l F 1 Z X J 5 S U Q i I F Z h b H V l P S J z N m I 0 N j E 5 O D k t O G V m M i 0 0 N T k 2 L W F m Y z A t M G U 2 M 2 E 0 N z N j M z V l I i A v P j x F b n R y e S B U e X B l P S J G a W x s R X J y b 3 J D b 3 V u d C I g V m F s d W U 9 I m w w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Q 2 9 1 b n Q i I F Z h b H V l P S J s M i I g L z 4 8 R W 5 0 c n k g V H l w Z T 0 i R m l s b E x h c 3 R V c G R h d G V k I i B W Y W x 1 Z T 0 i Z D I w M j Q t M D c t M j h U M T I 6 N T c 6 M D k u M z c 5 M z Y 1 N l o i I C 8 + P E V u d H J 5 I F R 5 c G U 9 I k Z p b G x D b 2 x 1 b W 5 U e X B l c y I g V m F s d W U 9 I n N B Q V l S Q U E 9 P S I g L z 4 8 R W 5 0 c n k g V H l w Z T 0 i Q W R k Z W R U b 0 R h d G F N b 2 R l b C I g V m F s d W U 9 I m w w I i A v P j x F b n R y e S B U e X B l P S J G a W x s Q 2 9 s d W 1 u T m F t Z X M i I F Z h b H V l P S J z W y Z x d W 9 0 O 1 R p d G x l J n F 1 b 3 Q 7 L C Z x d W 9 0 O 1 d l Z W t O b y Z x d W 9 0 O y w m c X V v d D t B b W 9 1 b n Q m c X V v d D s s J n F 1 b 3 Q 7 Q W 1 v d W 5 0 K E 1 U K S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F y K C s p L 0 F 1 d G 9 S Z W 1 v d m V k Q 2 9 s d W 1 u c z E u e 1 R p d G x l L D B 9 J n F 1 b 3 Q 7 L C Z x d W 9 0 O 1 N l Y 3 R p b 2 4 x L 1 R h Y n V s Y X I o K y k v Q X V 0 b 1 J l b W 9 2 Z W R D b 2 x 1 b W 5 z M S 5 7 V 2 V l a 0 5 v L D F 9 J n F 1 b 3 Q 7 L C Z x d W 9 0 O 1 N l Y 3 R p b 2 4 x L 1 R h Y n V s Y X I o K y k v Q X V 0 b 1 J l b W 9 2 Z W R D b 2 x 1 b W 5 z M S 5 7 Q W 1 v d W 5 0 L D J 9 J n F 1 b 3 Q 7 L C Z x d W 9 0 O 1 N l Y 3 R p b 2 4 x L 1 R h Y n V s Y X I o K y k v Q X V 0 b 1 J l b W 9 2 Z W R D b 2 x 1 b W 5 z M S 5 7 Q W 1 v d W 5 0 K E 1 U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1 b G F y K C s p L 0 F 1 d G 9 S Z W 1 v d m V k Q 2 9 s d W 1 u c z E u e 1 R p d G x l L D B 9 J n F 1 b 3 Q 7 L C Z x d W 9 0 O 1 N l Y 3 R p b 2 4 x L 1 R h Y n V s Y X I o K y k v Q X V 0 b 1 J l b W 9 2 Z W R D b 2 x 1 b W 5 z M S 5 7 V 2 V l a 0 5 v L D F 9 J n F 1 b 3 Q 7 L C Z x d W 9 0 O 1 N l Y 3 R p b 2 4 x L 1 R h Y n V s Y X I o K y k v Q X V 0 b 1 J l b W 9 2 Z W R D b 2 x 1 b W 5 z M S 5 7 Q W 1 v d W 5 0 L D J 9 J n F 1 b 3 Q 7 L C Z x d W 9 0 O 1 N l Y 3 R p b 2 4 x L 1 R h Y n V s Y X I o K y k v Q X V 0 b 1 J l b W 9 2 Z W R D b 2 x 1 b W 5 z M S 5 7 Q W 1 v d W 5 0 K E 1 U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d W x h c i g l M k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J T J C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J T J C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J T J C K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U y Q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J T J C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J T J C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U y Q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K C U y Q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g t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F 1 Z X J 5 S U Q i I F Z h b H V l P S J z Z D M 5 Z T V k M 2 I t O T c y N C 0 0 Z j J k L W E 2 N z Q t M z E z N D U 1 N W Q 4 Y z I 5 I i A v P j x F b n R y e S B U e X B l P S J B Z G R l Z F R v R G F 0 Y U 1 v Z G V s I i B W Y W x 1 Z T 0 i b D A i I C 8 + P E V u d H J 5 I F R 5 c G U 9 I k Z p b G x M Y X N 0 V X B k Y X R l Z C I g V m F s d W U 9 I m Q y M D I 0 L T A 3 L T I 4 V D E y O j U 3 O j A 3 L j k 3 M T E y O D Z a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s b F d l Z W t D a G F y d E J 5 R m l 4 L 0 F 1 d G 9 S Z W 1 v d m V k Q 2 9 s d W 1 u c z E u e 1 d l Z W t J R C w w f S Z x d W 9 0 O y w m c X V v d D t T Z W N 0 a W 9 u M S 9 G d W x s V 2 V l a 0 N o Y X J 0 Q n l G a X g v Q X V 0 b 1 J l b W 9 2 Z W R D b 2 x 1 b W 5 z M S 5 7 V 2 V l a 0 5 v L D F 9 J n F 1 b 3 Q 7 L C Z x d W 9 0 O 1 N l Y 3 R p b 2 4 x L 0 Z 1 b G x X Z W V r Q 2 h h c n R C e U Z p e C 9 B d X R v U m V t b 3 Z l Z E N v b H V t b n M x L n t G a X h l Z F N 1 b S w y f S Z x d W 9 0 O y w m c X V v d D t T Z W N 0 a W 9 u M S 9 G d W x s V 2 V l a 0 N o Y X J 0 Q n l G a X g v Q X V 0 b 1 J l b W 9 2 Z W R D b 2 x 1 b W 5 z M S 5 7 T m 9 0 R m l 4 Z W R T d W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n V s b F d l Z W t D a G F y d E J 5 R m l 4 L 0 F 1 d G 9 S Z W 1 v d m V k Q 2 9 s d W 1 u c z E u e 1 d l Z W t J R C w w f S Z x d W 9 0 O y w m c X V v d D t T Z W N 0 a W 9 u M S 9 G d W x s V 2 V l a 0 N o Y X J 0 Q n l G a X g v Q X V 0 b 1 J l b W 9 2 Z W R D b 2 x 1 b W 5 z M S 5 7 V 2 V l a 0 5 v L D F 9 J n F 1 b 3 Q 7 L C Z x d W 9 0 O 1 N l Y 3 R p b 2 4 x L 0 Z 1 b G x X Z W V r Q 2 h h c n R C e U Z p e C 9 B d X R v U m V t b 3 Z l Z E N v b H V t b n M x L n t G a X h l Z F N 1 b S w y f S Z x d W 9 0 O y w m c X V v d D t T Z W N 0 a W 9 u M S 9 G d W x s V 2 V l a 0 N o Y X J 0 Q n l G a X g v Q X V 0 b 1 J l b W 9 2 Z W R D b 2 x 1 b W 5 z M S 5 7 T m 9 0 R m l 4 Z W R T d W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g t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o L S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g t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K C 0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K C U y Q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R d W V y e U l E I i B W Y W x 1 Z T 0 i c z R k Z D d j Y z Y w L T A 4 Y T g t N D Z l N S 1 h Y 2 V l L T I y Y z J i Z j Z h M G R l Y i I g L z 4 8 R W 5 0 c n k g V H l w Z T 0 i Q W R k Z W R U b 0 R h d G F N b 2 R l b C I g V m F s d W U 9 I m w w I i A v P j x F b n R y e S B U e X B l P S J G a W x s T G F z d F V w Z G F 0 Z W Q i I F Z h b H V l P S J k M j A y N C 0 w N y 0 y O F Q x M j o 1 N z o w N y 4 5 N j M x N T A 0 W i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h a W 4 v Q X V 0 b 1 J l b W 9 2 Z W R D b 2 x 1 b W 5 z M S 5 7 V 2 V l a 0 l E L D B 9 J n F 1 b 3 Q 7 L C Z x d W 9 0 O 1 N l Y 3 R p b 2 4 x L 0 d h a W 4 v Q X V 0 b 1 J l b W 9 2 Z W R D b 2 x 1 b W 5 z M S 5 7 V 2 V l a 0 5 v L D F 9 J n F 1 b 3 Q 7 L C Z x d W 9 0 O 1 N l Y 3 R p b 2 4 x L 0 d h a W 4 v Q X V 0 b 1 J l b W 9 2 Z W R D b 2 x 1 b W 5 z M S 5 7 R 2 F p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Y W l u L 0 F 1 d G 9 S Z W 1 v d m V k Q 2 9 s d W 1 u c z E u e 1 d l Z W t J R C w w f S Z x d W 9 0 O y w m c X V v d D t T Z W N 0 a W 9 u M S 9 H Y W l u L 0 F 1 d G 9 S Z W 1 v d m V k Q 2 9 s d W 1 u c z E u e 1 d l Z W t O b y w x f S Z x d W 9 0 O y w m c X V v d D t T Z W N 0 a W 9 u M S 9 H Y W l u L 0 F 1 d G 9 S Z W 1 v d m V k Q 2 9 s d W 1 u c z E u e 0 d h a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g l M k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g l M k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K C U y Q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g l M k I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o L S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E N v b H V t b l R 5 c G V z I i B W Y W x 1 Z T 0 i c 0 F B Q U Z B Q U F B Q U F B P S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U X V l c n l J R C I g V m F s d W U 9 I n N i M j A 0 Z W F j M S 1 k N z Q 1 L T Q 5 Y T U t O W I 5 N S 1 l Y T g 2 M j E z Z G N l O D Y i I C 8 + P E V u d H J 5 I F R 5 c G U 9 I k Z p b G x D b 2 x 1 b W 5 O Y W 1 l c y I g V m F s d W U 9 I n N b J n F 1 b 3 Q 7 V 2 V l a 0 l E J n F 1 b 3 Q 7 L C Z x d W 9 0 O 1 d l Z W t O b y Z x d W 9 0 O y w m c X V v d D t p b i Z x d W 9 0 O y w m c X V v d D t p b l A m c X V v d D s s J n F 1 b 3 Q 7 b 3 V 0 J n F 1 b 3 Q 7 L C Z x d W 9 0 O 2 9 1 d F A m c X V v d D s s J n F 1 b 3 Q 7 I F R v d G F s J n F 1 b 3 Q 7 L C Z x d W 9 0 O 1 R v d G F s U C Z x d W 9 0 O 1 0 i I C 8 + P E V u d H J 5 I F R 5 c G U 9 I k Z p b G x T d G F 0 d X M i I F Z h b H V l P S J z Q 2 9 t c G x l d G U i I C 8 + P E V u d H J 5 I F R 5 c G U 9 I k Z p b G x M Y X N 0 V X B k Y X R l Z C I g V m F s d W U 9 I m Q y M D I 0 L T A 3 L T I 4 V D E y O j U 3 O j A 4 L j I 5 O D I 1 N D J a I i A v P j x F b n R y e S B U e X B l P S J G a W x s Q 2 9 1 b n Q i I F Z h b H V l P S J s N T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m N s d X N p b 2 4 v Q X V 0 b 1 J l b W 9 2 Z W R D b 2 x 1 b W 5 z M S 5 7 V 2 V l a 0 l E L D B 9 J n F 1 b 3 Q 7 L C Z x d W 9 0 O 1 N l Y 3 R p b 2 4 x L 0 N v b m N s d X N p b 2 4 v Q X V 0 b 1 J l b W 9 2 Z W R D b 2 x 1 b W 5 z M S 5 7 V 2 V l a 0 5 v L D F 9 J n F 1 b 3 Q 7 L C Z x d W 9 0 O 1 N l Y 3 R p b 2 4 x L 0 N v b m N s d X N p b 2 4 v Q X V 0 b 1 J l b W 9 2 Z W R D b 2 x 1 b W 5 z M S 5 7 a W 4 s M n 0 m c X V v d D s s J n F 1 b 3 Q 7 U 2 V j d G l v b j E v Q 2 9 u Y 2 x 1 c 2 l v b i 9 B d X R v U m V t b 3 Z l Z E N v b H V t b n M x L n t p b l A s M 3 0 m c X V v d D s s J n F 1 b 3 Q 7 U 2 V j d G l v b j E v Q 2 9 u Y 2 x 1 c 2 l v b i 9 B d X R v U m V t b 3 Z l Z E N v b H V t b n M x L n t v d X Q s N H 0 m c X V v d D s s J n F 1 b 3 Q 7 U 2 V j d G l v b j E v Q 2 9 u Y 2 x 1 c 2 l v b i 9 B d X R v U m V t b 3 Z l Z E N v b H V t b n M x L n t v d X R Q L D V 9 J n F 1 b 3 Q 7 L C Z x d W 9 0 O 1 N l Y 3 R p b 2 4 x L 0 N v b m N s d X N p b 2 4 v Q X V 0 b 1 J l b W 9 2 Z W R D b 2 x 1 b W 5 z M S 5 7 I F R v d G F s L D Z 9 J n F 1 b 3 Q 7 L C Z x d W 9 0 O 1 N l Y 3 R p b 2 4 x L 0 N v b m N s d X N p b 2 4 v Q X V 0 b 1 J l b W 9 2 Z W R D b 2 x 1 b W 5 z M S 5 7 V G 9 0 Y W x Q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m N s d X N p b 2 4 v Q X V 0 b 1 J l b W 9 2 Z W R D b 2 x 1 b W 5 z M S 5 7 V 2 V l a 0 l E L D B 9 J n F 1 b 3 Q 7 L C Z x d W 9 0 O 1 N l Y 3 R p b 2 4 x L 0 N v b m N s d X N p b 2 4 v Q X V 0 b 1 J l b W 9 2 Z W R D b 2 x 1 b W 5 z M S 5 7 V 2 V l a 0 5 v L D F 9 J n F 1 b 3 Q 7 L C Z x d W 9 0 O 1 N l Y 3 R p b 2 4 x L 0 N v b m N s d X N p b 2 4 v Q X V 0 b 1 J l b W 9 2 Z W R D b 2 x 1 b W 5 z M S 5 7 a W 4 s M n 0 m c X V v d D s s J n F 1 b 3 Q 7 U 2 V j d G l v b j E v Q 2 9 u Y 2 x 1 c 2 l v b i 9 B d X R v U m V t b 3 Z l Z E N v b H V t b n M x L n t p b l A s M 3 0 m c X V v d D s s J n F 1 b 3 Q 7 U 2 V j d G l v b j E v Q 2 9 u Y 2 x 1 c 2 l v b i 9 B d X R v U m V t b 3 Z l Z E N v b H V t b n M x L n t v d X Q s N H 0 m c X V v d D s s J n F 1 b 3 Q 7 U 2 V j d G l v b j E v Q 2 9 u Y 2 x 1 c 2 l v b i 9 B d X R v U m V t b 3 Z l Z E N v b H V t b n M x L n t v d X R Q L D V 9 J n F 1 b 3 Q 7 L C Z x d W 9 0 O 1 N l Y 3 R p b 2 4 x L 0 N v b m N s d X N p b 2 4 v Q X V 0 b 1 J l b W 9 2 Z W R D b 2 x 1 b W 5 z M S 5 7 I F R v d G F s L D Z 9 J n F 1 b 3 Q 7 L C Z x d W 9 0 O 1 N l Y 3 R p b 2 4 x L 0 N v b m N s d X N p b 2 4 v Q X V 0 b 1 J l b W 9 2 Z W R D b 2 x 1 b W 5 z M S 5 7 V G 9 0 Y W x Q L D d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m N s d X N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J T I w K D I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J T I w K D I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l M j A o M i k v Q W R k Z W Q l M j B D d X N 0 b 2 0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a W S Y h y 4 I R N k F V Q E r j Z B 6 8 A A A A A A g A A A A A A E G Y A A A A B A A A g A A A A 7 S E V M + a a 9 S t Y F G + Y P i R g g 4 K g 0 k n n h X L z 6 c T B S T S f b p A A A A A A D o A A A A A C A A A g A A A A m B 3 6 N o A s T C i J d N u 0 b V d 4 8 Y J I 9 L D u D 6 A h x o D 9 I Q + s n Z h Q A A A A t w F P V 5 w l / d Q H 3 1 y 4 q o T L n 8 p o V K v 3 0 I y P u D B x p c w e 7 a E K p M L Z w v 0 m 8 m P 7 l O c p i x x Q y D B t 5 o z T / v P F R d p h u z E R k 8 D K l Z b H M 9 q l s 1 v Q g Y p O R 7 Z A A A A A j l + A n L v 9 c A R 6 l B 1 a 2 u O L h P 5 i Q S p L 0 P w P J e 7 g l s l Z 6 3 o H 1 j s C + W P B c O I q b F 0 O x 7 W w 9 m y G h i 0 u i r h b y k 4 i X k S 6 7 g = = < / D a t a M a s h u p > 
</file>

<file path=customXml/itemProps1.xml><?xml version="1.0" encoding="utf-8"?>
<ds:datastoreItem xmlns:ds="http://schemas.openxmlformats.org/officeDocument/2006/customXml" ds:itemID="{913334F4-489C-43D5-9AAB-A702AB5A3C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Tabular(-)</vt:lpstr>
      <vt:lpstr>Tabular(+)</vt:lpstr>
      <vt:lpstr>Tabular-</vt:lpstr>
      <vt:lpstr>Tabular+</vt:lpstr>
      <vt:lpstr>+</vt:lpstr>
      <vt:lpstr>-</vt:lpstr>
      <vt:lpstr>(+)</vt:lpstr>
      <vt:lpstr>(-)</vt:lpstr>
      <vt:lpstr>تراز</vt:lpstr>
      <vt:lpstr>پیش‌بینی</vt:lpstr>
      <vt:lpstr>واقعیت</vt:lpstr>
      <vt:lpstr>مقایسه</vt:lpstr>
      <vt:lpstr>Data</vt:lpstr>
      <vt:lpstr>مقایسه!L_InputGroup</vt:lpstr>
      <vt:lpstr>L_InputGroup</vt:lpstr>
      <vt:lpstr>مقایسه!L_OutputGroup</vt:lpstr>
      <vt:lpstr>L_OutputGroup</vt:lpstr>
      <vt:lpstr>تراز!Print_Area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Sheima</dc:creator>
  <cp:lastModifiedBy>Mohammad Aboutalebi</cp:lastModifiedBy>
  <cp:lastPrinted>2023-05-14T13:04:57Z</cp:lastPrinted>
  <dcterms:created xsi:type="dcterms:W3CDTF">2023-05-05T09:06:46Z</dcterms:created>
  <dcterms:modified xsi:type="dcterms:W3CDTF">2024-07-29T10:25:02Z</dcterms:modified>
</cp:coreProperties>
</file>