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firstSheet="1" activeTab="1"/>
  </bookViews>
  <sheets>
    <sheet name="Поиск тренда" sheetId="1" r:id="rId1"/>
    <sheet name="Автокорреляция" sheetId="2" r:id="rId2"/>
    <sheet name="Скользящая средняя" sheetId="3" r:id="rId3"/>
    <sheet name="Разложение фурье " sheetId="5" r:id="rId4"/>
  </sheets>
  <externalReferences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E83" i="2" l="1"/>
  <c r="F83" i="2"/>
  <c r="C84" i="2"/>
  <c r="C83" i="2"/>
  <c r="E84" i="2"/>
  <c r="F84" i="2" s="1"/>
  <c r="S77" i="2"/>
  <c r="T73" i="2"/>
  <c r="U69" i="2"/>
  <c r="V65" i="2"/>
  <c r="W58" i="2"/>
  <c r="F3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M14" i="3"/>
  <c r="M3" i="3"/>
  <c r="M2" i="3"/>
  <c r="L14" i="3"/>
  <c r="L15" i="3"/>
  <c r="L3" i="3"/>
  <c r="L2" i="3"/>
  <c r="L13" i="3"/>
  <c r="M13" i="3" s="1"/>
  <c r="L12" i="3"/>
  <c r="M12" i="3" s="1"/>
  <c r="E24" i="3" s="1"/>
  <c r="L11" i="3"/>
  <c r="M11" i="3" s="1"/>
  <c r="L10" i="3"/>
  <c r="M10" i="3" s="1"/>
  <c r="E34" i="3" s="1"/>
  <c r="L9" i="3"/>
  <c r="M9" i="3" s="1"/>
  <c r="L8" i="3"/>
  <c r="M8" i="3" s="1"/>
  <c r="L7" i="3"/>
  <c r="M7" i="3" s="1"/>
  <c r="L6" i="3"/>
  <c r="M6" i="3" s="1"/>
  <c r="E30" i="3" s="1"/>
  <c r="L5" i="3"/>
  <c r="M5" i="3" s="1"/>
  <c r="L4" i="3"/>
  <c r="M4" i="3" s="1"/>
  <c r="D12" i="3"/>
  <c r="C29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36" i="3"/>
  <c r="C35" i="3"/>
  <c r="D35" i="3" s="1"/>
  <c r="C34" i="3"/>
  <c r="C33" i="3"/>
  <c r="D33" i="3" s="1"/>
  <c r="C32" i="3"/>
  <c r="C31" i="3"/>
  <c r="D31" i="3" s="1"/>
  <c r="C30" i="3"/>
  <c r="D29" i="3"/>
  <c r="C28" i="3"/>
  <c r="D27" i="3"/>
  <c r="D25" i="3"/>
  <c r="D23" i="3"/>
  <c r="D21" i="3"/>
  <c r="D19" i="3"/>
  <c r="D17" i="3"/>
  <c r="D15" i="3"/>
  <c r="D13" i="3"/>
  <c r="N2" i="5"/>
  <c r="I2" i="5"/>
  <c r="I36" i="5"/>
  <c r="H3" i="5"/>
  <c r="N3" i="5" s="1"/>
  <c r="T3" i="5" s="1"/>
  <c r="H4" i="5"/>
  <c r="N4" i="5" s="1"/>
  <c r="T4" i="5" s="1"/>
  <c r="H5" i="5"/>
  <c r="N5" i="5" s="1"/>
  <c r="T5" i="5" s="1"/>
  <c r="U5" i="5" s="1"/>
  <c r="H6" i="5"/>
  <c r="N6" i="5" s="1"/>
  <c r="T6" i="5" s="1"/>
  <c r="U6" i="5" s="1"/>
  <c r="H7" i="5"/>
  <c r="H8" i="5"/>
  <c r="H9" i="5"/>
  <c r="H10" i="5"/>
  <c r="H11" i="5"/>
  <c r="N11" i="5" s="1"/>
  <c r="T11" i="5" s="1"/>
  <c r="H12" i="5"/>
  <c r="N12" i="5" s="1"/>
  <c r="T12" i="5" s="1"/>
  <c r="H13" i="5"/>
  <c r="N13" i="5" s="1"/>
  <c r="T13" i="5" s="1"/>
  <c r="U13" i="5" s="1"/>
  <c r="H14" i="5"/>
  <c r="N14" i="5" s="1"/>
  <c r="T14" i="5" s="1"/>
  <c r="U14" i="5" s="1"/>
  <c r="H15" i="5"/>
  <c r="H16" i="5"/>
  <c r="H17" i="5"/>
  <c r="H18" i="5"/>
  <c r="H19" i="5"/>
  <c r="N19" i="5" s="1"/>
  <c r="T19" i="5" s="1"/>
  <c r="H20" i="5"/>
  <c r="N20" i="5" s="1"/>
  <c r="T20" i="5" s="1"/>
  <c r="H21" i="5"/>
  <c r="N21" i="5" s="1"/>
  <c r="T21" i="5" s="1"/>
  <c r="U21" i="5" s="1"/>
  <c r="H22" i="5"/>
  <c r="N22" i="5" s="1"/>
  <c r="T22" i="5" s="1"/>
  <c r="U22" i="5" s="1"/>
  <c r="H23" i="5"/>
  <c r="H24" i="5"/>
  <c r="H25" i="5"/>
  <c r="H26" i="5"/>
  <c r="H27" i="5"/>
  <c r="N27" i="5" s="1"/>
  <c r="T27" i="5" s="1"/>
  <c r="H28" i="5"/>
  <c r="N28" i="5" s="1"/>
  <c r="T28" i="5" s="1"/>
  <c r="H29" i="5"/>
  <c r="N29" i="5" s="1"/>
  <c r="T29" i="5" s="1"/>
  <c r="U29" i="5" s="1"/>
  <c r="H30" i="5"/>
  <c r="N30" i="5" s="1"/>
  <c r="T30" i="5" s="1"/>
  <c r="U30" i="5" s="1"/>
  <c r="H31" i="5"/>
  <c r="H32" i="5"/>
  <c r="H33" i="5"/>
  <c r="H34" i="5"/>
  <c r="H35" i="5"/>
  <c r="N35" i="5" s="1"/>
  <c r="T35" i="5" s="1"/>
  <c r="H36" i="5"/>
  <c r="N36" i="5" s="1"/>
  <c r="T36" i="5" s="1"/>
  <c r="H2" i="5"/>
  <c r="U2" i="5"/>
  <c r="T37" i="5"/>
  <c r="U37" i="5" s="1"/>
  <c r="T2" i="5"/>
  <c r="S41" i="5"/>
  <c r="S40" i="5"/>
  <c r="S37" i="5"/>
  <c r="R37" i="5"/>
  <c r="Q37" i="5"/>
  <c r="P37" i="5"/>
  <c r="Q36" i="5"/>
  <c r="S36" i="5" s="1"/>
  <c r="P36" i="5"/>
  <c r="Q35" i="5"/>
  <c r="S35" i="5" s="1"/>
  <c r="P35" i="5"/>
  <c r="Q34" i="5"/>
  <c r="S34" i="5" s="1"/>
  <c r="P34" i="5"/>
  <c r="R34" i="5" s="1"/>
  <c r="S33" i="5"/>
  <c r="R33" i="5"/>
  <c r="Q33" i="5"/>
  <c r="P33" i="5"/>
  <c r="Q32" i="5"/>
  <c r="S32" i="5" s="1"/>
  <c r="P32" i="5"/>
  <c r="Q31" i="5"/>
  <c r="S31" i="5" s="1"/>
  <c r="P31" i="5"/>
  <c r="Q30" i="5"/>
  <c r="S30" i="5" s="1"/>
  <c r="P30" i="5"/>
  <c r="R30" i="5" s="1"/>
  <c r="S29" i="5"/>
  <c r="R29" i="5"/>
  <c r="Q29" i="5"/>
  <c r="P29" i="5"/>
  <c r="Q28" i="5"/>
  <c r="S28" i="5" s="1"/>
  <c r="P28" i="5"/>
  <c r="Q27" i="5"/>
  <c r="S27" i="5" s="1"/>
  <c r="P27" i="5"/>
  <c r="Q26" i="5"/>
  <c r="S26" i="5" s="1"/>
  <c r="P26" i="5"/>
  <c r="R26" i="5" s="1"/>
  <c r="S25" i="5"/>
  <c r="R25" i="5"/>
  <c r="Q25" i="5"/>
  <c r="P25" i="5"/>
  <c r="Q24" i="5"/>
  <c r="S24" i="5" s="1"/>
  <c r="P24" i="5"/>
  <c r="R23" i="5"/>
  <c r="Q23" i="5"/>
  <c r="S23" i="5" s="1"/>
  <c r="P23" i="5"/>
  <c r="Q22" i="5"/>
  <c r="S22" i="5" s="1"/>
  <c r="P22" i="5"/>
  <c r="R22" i="5" s="1"/>
  <c r="S21" i="5"/>
  <c r="R21" i="5"/>
  <c r="Q21" i="5"/>
  <c r="P21" i="5"/>
  <c r="Q20" i="5"/>
  <c r="S20" i="5" s="1"/>
  <c r="P20" i="5"/>
  <c r="Q19" i="5"/>
  <c r="S19" i="5" s="1"/>
  <c r="P19" i="5"/>
  <c r="Q18" i="5"/>
  <c r="S18" i="5" s="1"/>
  <c r="P18" i="5"/>
  <c r="R18" i="5" s="1"/>
  <c r="S17" i="5"/>
  <c r="R17" i="5"/>
  <c r="Q17" i="5"/>
  <c r="P17" i="5"/>
  <c r="Q16" i="5"/>
  <c r="S16" i="5" s="1"/>
  <c r="P16" i="5"/>
  <c r="Q15" i="5"/>
  <c r="S15" i="5" s="1"/>
  <c r="P15" i="5"/>
  <c r="Q14" i="5"/>
  <c r="S14" i="5" s="1"/>
  <c r="P14" i="5"/>
  <c r="R14" i="5" s="1"/>
  <c r="S13" i="5"/>
  <c r="R13" i="5"/>
  <c r="Q13" i="5"/>
  <c r="P13" i="5"/>
  <c r="Q12" i="5"/>
  <c r="S12" i="5" s="1"/>
  <c r="P12" i="5"/>
  <c r="Q11" i="5"/>
  <c r="S11" i="5" s="1"/>
  <c r="P11" i="5"/>
  <c r="Q10" i="5"/>
  <c r="S10" i="5" s="1"/>
  <c r="P10" i="5"/>
  <c r="R10" i="5" s="1"/>
  <c r="S9" i="5"/>
  <c r="R9" i="5"/>
  <c r="Q9" i="5"/>
  <c r="P9" i="5"/>
  <c r="Q8" i="5"/>
  <c r="S8" i="5" s="1"/>
  <c r="P8" i="5"/>
  <c r="Q7" i="5"/>
  <c r="S7" i="5" s="1"/>
  <c r="P7" i="5"/>
  <c r="Q6" i="5"/>
  <c r="S6" i="5" s="1"/>
  <c r="P6" i="5"/>
  <c r="R6" i="5" s="1"/>
  <c r="S5" i="5"/>
  <c r="R5" i="5"/>
  <c r="Q5" i="5"/>
  <c r="P5" i="5"/>
  <c r="Q4" i="5"/>
  <c r="S4" i="5" s="1"/>
  <c r="P4" i="5"/>
  <c r="Q3" i="5"/>
  <c r="S3" i="5" s="1"/>
  <c r="P3" i="5"/>
  <c r="Q2" i="5"/>
  <c r="S2" i="5" s="1"/>
  <c r="P2" i="5"/>
  <c r="R2" i="5" s="1"/>
  <c r="O2" i="5"/>
  <c r="N7" i="5"/>
  <c r="T7" i="5" s="1"/>
  <c r="N8" i="5"/>
  <c r="T8" i="5" s="1"/>
  <c r="N9" i="5"/>
  <c r="T9" i="5" s="1"/>
  <c r="U9" i="5" s="1"/>
  <c r="N10" i="5"/>
  <c r="T10" i="5" s="1"/>
  <c r="U10" i="5" s="1"/>
  <c r="N15" i="5"/>
  <c r="T15" i="5" s="1"/>
  <c r="N16" i="5"/>
  <c r="T16" i="5" s="1"/>
  <c r="N17" i="5"/>
  <c r="T17" i="5" s="1"/>
  <c r="U17" i="5" s="1"/>
  <c r="N18" i="5"/>
  <c r="T18" i="5" s="1"/>
  <c r="U18" i="5" s="1"/>
  <c r="N23" i="5"/>
  <c r="T23" i="5" s="1"/>
  <c r="N24" i="5"/>
  <c r="T24" i="5" s="1"/>
  <c r="N25" i="5"/>
  <c r="T25" i="5" s="1"/>
  <c r="U25" i="5" s="1"/>
  <c r="N26" i="5"/>
  <c r="T26" i="5" s="1"/>
  <c r="U26" i="5" s="1"/>
  <c r="N31" i="5"/>
  <c r="T31" i="5" s="1"/>
  <c r="N32" i="5"/>
  <c r="T32" i="5" s="1"/>
  <c r="N33" i="5"/>
  <c r="T33" i="5" s="1"/>
  <c r="U33" i="5" s="1"/>
  <c r="N34" i="5"/>
  <c r="T34" i="5" s="1"/>
  <c r="U34" i="5" s="1"/>
  <c r="N37" i="5"/>
  <c r="M42" i="5"/>
  <c r="M41" i="5"/>
  <c r="L2" i="5"/>
  <c r="K37" i="5"/>
  <c r="M37" i="5" s="1"/>
  <c r="J37" i="5"/>
  <c r="K36" i="5"/>
  <c r="M36" i="5" s="1"/>
  <c r="J36" i="5"/>
  <c r="K35" i="5"/>
  <c r="J35" i="5"/>
  <c r="L35" i="5" s="1"/>
  <c r="M34" i="5"/>
  <c r="K34" i="5"/>
  <c r="J34" i="5"/>
  <c r="L34" i="5" s="1"/>
  <c r="L33" i="5"/>
  <c r="K33" i="5"/>
  <c r="M33" i="5" s="1"/>
  <c r="J33" i="5"/>
  <c r="K32" i="5"/>
  <c r="M32" i="5" s="1"/>
  <c r="J32" i="5"/>
  <c r="O32" i="5" s="1"/>
  <c r="K31" i="5"/>
  <c r="M31" i="5" s="1"/>
  <c r="J31" i="5"/>
  <c r="M30" i="5"/>
  <c r="K30" i="5"/>
  <c r="J30" i="5"/>
  <c r="L30" i="5" s="1"/>
  <c r="L29" i="5"/>
  <c r="K29" i="5"/>
  <c r="M29" i="5" s="1"/>
  <c r="J29" i="5"/>
  <c r="K28" i="5"/>
  <c r="M28" i="5" s="1"/>
  <c r="J28" i="5"/>
  <c r="K27" i="5"/>
  <c r="M27" i="5" s="1"/>
  <c r="J27" i="5"/>
  <c r="M26" i="5"/>
  <c r="K26" i="5"/>
  <c r="J26" i="5"/>
  <c r="L26" i="5" s="1"/>
  <c r="L25" i="5"/>
  <c r="K25" i="5"/>
  <c r="M25" i="5" s="1"/>
  <c r="J25" i="5"/>
  <c r="K24" i="5"/>
  <c r="M24" i="5" s="1"/>
  <c r="J24" i="5"/>
  <c r="K23" i="5"/>
  <c r="M23" i="5" s="1"/>
  <c r="J23" i="5"/>
  <c r="O23" i="5" s="1"/>
  <c r="M22" i="5"/>
  <c r="K22" i="5"/>
  <c r="J22" i="5"/>
  <c r="L22" i="5" s="1"/>
  <c r="L21" i="5"/>
  <c r="K21" i="5"/>
  <c r="M21" i="5" s="1"/>
  <c r="J21" i="5"/>
  <c r="K20" i="5"/>
  <c r="M20" i="5" s="1"/>
  <c r="J20" i="5"/>
  <c r="K19" i="5"/>
  <c r="M19" i="5" s="1"/>
  <c r="J19" i="5"/>
  <c r="M18" i="5"/>
  <c r="K18" i="5"/>
  <c r="J18" i="5"/>
  <c r="L18" i="5" s="1"/>
  <c r="L17" i="5"/>
  <c r="K17" i="5"/>
  <c r="M17" i="5" s="1"/>
  <c r="J17" i="5"/>
  <c r="K16" i="5"/>
  <c r="M16" i="5" s="1"/>
  <c r="J16" i="5"/>
  <c r="O16" i="5" s="1"/>
  <c r="K15" i="5"/>
  <c r="M15" i="5" s="1"/>
  <c r="J15" i="5"/>
  <c r="M14" i="5"/>
  <c r="K14" i="5"/>
  <c r="J14" i="5"/>
  <c r="L14" i="5" s="1"/>
  <c r="L13" i="5"/>
  <c r="K13" i="5"/>
  <c r="J13" i="5"/>
  <c r="K12" i="5"/>
  <c r="M12" i="5" s="1"/>
  <c r="J12" i="5"/>
  <c r="K11" i="5"/>
  <c r="M11" i="5" s="1"/>
  <c r="J11" i="5"/>
  <c r="M10" i="5"/>
  <c r="K10" i="5"/>
  <c r="J10" i="5"/>
  <c r="L10" i="5" s="1"/>
  <c r="L9" i="5"/>
  <c r="K9" i="5"/>
  <c r="J9" i="5"/>
  <c r="K8" i="5"/>
  <c r="M8" i="5" s="1"/>
  <c r="J8" i="5"/>
  <c r="K7" i="5"/>
  <c r="M7" i="5" s="1"/>
  <c r="J7" i="5"/>
  <c r="O7" i="5" s="1"/>
  <c r="M6" i="5"/>
  <c r="K6" i="5"/>
  <c r="J6" i="5"/>
  <c r="L6" i="5" s="1"/>
  <c r="L5" i="5"/>
  <c r="K5" i="5"/>
  <c r="J5" i="5"/>
  <c r="K4" i="5"/>
  <c r="M4" i="5" s="1"/>
  <c r="J4" i="5"/>
  <c r="M3" i="5"/>
  <c r="K3" i="5"/>
  <c r="J3" i="5"/>
  <c r="M2" i="5"/>
  <c r="K2" i="5"/>
  <c r="J2" i="5"/>
  <c r="H37" i="5"/>
  <c r="G42" i="5"/>
  <c r="G41" i="5"/>
  <c r="B38" i="5"/>
  <c r="E3" i="5"/>
  <c r="G3" i="5" s="1"/>
  <c r="C3" i="5"/>
  <c r="D3" i="5" s="1"/>
  <c r="E2" i="5"/>
  <c r="G2" i="5" s="1"/>
  <c r="D2" i="5"/>
  <c r="E7" i="3" l="1"/>
  <c r="E19" i="3"/>
  <c r="E31" i="3"/>
  <c r="E32" i="3"/>
  <c r="E20" i="3"/>
  <c r="E9" i="3"/>
  <c r="E33" i="3"/>
  <c r="E21" i="3"/>
  <c r="E3" i="3"/>
  <c r="E15" i="3"/>
  <c r="E27" i="3"/>
  <c r="E11" i="3"/>
  <c r="E35" i="3"/>
  <c r="E28" i="3"/>
  <c r="E4" i="3"/>
  <c r="E29" i="3"/>
  <c r="E5" i="3"/>
  <c r="E17" i="3"/>
  <c r="E26" i="3"/>
  <c r="E37" i="3"/>
  <c r="E25" i="3"/>
  <c r="E13" i="3"/>
  <c r="E8" i="3"/>
  <c r="E16" i="3"/>
  <c r="E6" i="3"/>
  <c r="E22" i="3"/>
  <c r="E18" i="3"/>
  <c r="E23" i="3"/>
  <c r="E36" i="3"/>
  <c r="E12" i="3"/>
  <c r="E10" i="3"/>
  <c r="E2" i="3"/>
  <c r="D14" i="3"/>
  <c r="D18" i="3"/>
  <c r="D22" i="3"/>
  <c r="D26" i="3"/>
  <c r="D30" i="3"/>
  <c r="D34" i="3"/>
  <c r="D16" i="3"/>
  <c r="D20" i="3"/>
  <c r="D24" i="3"/>
  <c r="D28" i="3"/>
  <c r="D32" i="3"/>
  <c r="O29" i="5"/>
  <c r="O20" i="5"/>
  <c r="U15" i="5"/>
  <c r="U3" i="5"/>
  <c r="U27" i="5"/>
  <c r="O8" i="5"/>
  <c r="O11" i="5"/>
  <c r="O14" i="5"/>
  <c r="O27" i="5"/>
  <c r="O30" i="5"/>
  <c r="U16" i="5"/>
  <c r="O22" i="5"/>
  <c r="U35" i="5"/>
  <c r="O13" i="5"/>
  <c r="O4" i="5"/>
  <c r="O38" i="5" s="1"/>
  <c r="O5" i="5"/>
  <c r="U7" i="5"/>
  <c r="U28" i="5"/>
  <c r="O12" i="5"/>
  <c r="O15" i="5"/>
  <c r="O28" i="5"/>
  <c r="O6" i="5"/>
  <c r="U24" i="5"/>
  <c r="U19" i="5"/>
  <c r="U31" i="5"/>
  <c r="O3" i="5"/>
  <c r="U8" i="5"/>
  <c r="U23" i="5"/>
  <c r="U32" i="5"/>
  <c r="O19" i="5"/>
  <c r="O35" i="5"/>
  <c r="U11" i="5"/>
  <c r="O36" i="5"/>
  <c r="U4" i="5"/>
  <c r="U12" i="5"/>
  <c r="U20" i="5"/>
  <c r="U36" i="5"/>
  <c r="S38" i="5"/>
  <c r="T38" i="5"/>
  <c r="R12" i="5"/>
  <c r="R16" i="5"/>
  <c r="R20" i="5"/>
  <c r="R24" i="5"/>
  <c r="R28" i="5"/>
  <c r="R32" i="5"/>
  <c r="R36" i="5"/>
  <c r="R27" i="5"/>
  <c r="R4" i="5"/>
  <c r="R3" i="5"/>
  <c r="R7" i="5"/>
  <c r="R11" i="5"/>
  <c r="R15" i="5"/>
  <c r="R38" i="5" s="1"/>
  <c r="R19" i="5"/>
  <c r="R31" i="5"/>
  <c r="R8" i="5"/>
  <c r="R35" i="5"/>
  <c r="O26" i="5"/>
  <c r="O10" i="5"/>
  <c r="O33" i="5"/>
  <c r="O21" i="5"/>
  <c r="O24" i="5"/>
  <c r="O37" i="5"/>
  <c r="O18" i="5"/>
  <c r="O25" i="5"/>
  <c r="O31" i="5"/>
  <c r="O34" i="5"/>
  <c r="O17" i="5"/>
  <c r="O9" i="5"/>
  <c r="N38" i="5"/>
  <c r="L37" i="5"/>
  <c r="M5" i="5"/>
  <c r="M38" i="5" s="1"/>
  <c r="M9" i="5"/>
  <c r="M13" i="5"/>
  <c r="L4" i="5"/>
  <c r="L8" i="5"/>
  <c r="L12" i="5"/>
  <c r="L16" i="5"/>
  <c r="L20" i="5"/>
  <c r="L24" i="5"/>
  <c r="L28" i="5"/>
  <c r="L32" i="5"/>
  <c r="L36" i="5"/>
  <c r="L3" i="5"/>
  <c r="L38" i="5" s="1"/>
  <c r="L7" i="5"/>
  <c r="L11" i="5"/>
  <c r="L15" i="5"/>
  <c r="L19" i="5"/>
  <c r="L23" i="5"/>
  <c r="L27" i="5"/>
  <c r="L31" i="5"/>
  <c r="M35" i="5"/>
  <c r="F3" i="5"/>
  <c r="I3" i="5"/>
  <c r="F2" i="5"/>
  <c r="C4" i="5"/>
  <c r="E14" i="3" l="1"/>
  <c r="U38" i="5"/>
  <c r="E4" i="5"/>
  <c r="G4" i="5" s="1"/>
  <c r="D4" i="5"/>
  <c r="C5" i="5"/>
  <c r="E5" i="5" l="1"/>
  <c r="G5" i="5" s="1"/>
  <c r="D5" i="5"/>
  <c r="C6" i="5"/>
  <c r="F4" i="5"/>
  <c r="I4" i="5" l="1"/>
  <c r="E6" i="5"/>
  <c r="G6" i="5" s="1"/>
  <c r="D6" i="5"/>
  <c r="C7" i="5"/>
  <c r="F5" i="5"/>
  <c r="I5" i="5"/>
  <c r="D7" i="5" l="1"/>
  <c r="E7" i="5"/>
  <c r="G7" i="5" s="1"/>
  <c r="C8" i="5"/>
  <c r="F6" i="5"/>
  <c r="I6" i="5"/>
  <c r="F7" i="5" l="1"/>
  <c r="E8" i="5"/>
  <c r="G8" i="5" s="1"/>
  <c r="C9" i="5"/>
  <c r="D8" i="5"/>
  <c r="I7" i="5" l="1"/>
  <c r="C10" i="5"/>
  <c r="D9" i="5"/>
  <c r="E9" i="5"/>
  <c r="G9" i="5" s="1"/>
  <c r="I8" i="5"/>
  <c r="F8" i="5"/>
  <c r="I9" i="5" l="1"/>
  <c r="F9" i="5"/>
  <c r="D10" i="5"/>
  <c r="C11" i="5"/>
  <c r="E10" i="5"/>
  <c r="G10" i="5" s="1"/>
  <c r="D11" i="5" l="1"/>
  <c r="C12" i="5"/>
  <c r="E11" i="5"/>
  <c r="G11" i="5" s="1"/>
  <c r="I10" i="5"/>
  <c r="F10" i="5"/>
  <c r="E12" i="5" l="1"/>
  <c r="G12" i="5" s="1"/>
  <c r="D12" i="5"/>
  <c r="C13" i="5"/>
  <c r="I11" i="5"/>
  <c r="F11" i="5"/>
  <c r="I12" i="5" l="1"/>
  <c r="F12" i="5"/>
  <c r="E13" i="5"/>
  <c r="G13" i="5" s="1"/>
  <c r="D13" i="5"/>
  <c r="C14" i="5"/>
  <c r="F13" i="5" l="1"/>
  <c r="I13" i="5"/>
  <c r="E14" i="5"/>
  <c r="G14" i="5" s="1"/>
  <c r="D14" i="5"/>
  <c r="C15" i="5"/>
  <c r="D15" i="5" l="1"/>
  <c r="E15" i="5"/>
  <c r="G15" i="5" s="1"/>
  <c r="C16" i="5"/>
  <c r="F14" i="5"/>
  <c r="I14" i="5"/>
  <c r="E16" i="5" l="1"/>
  <c r="G16" i="5" s="1"/>
  <c r="D16" i="5"/>
  <c r="C17" i="5"/>
  <c r="I15" i="5"/>
  <c r="F15" i="5"/>
  <c r="C18" i="5" l="1"/>
  <c r="D17" i="5"/>
  <c r="E17" i="5"/>
  <c r="G17" i="5" s="1"/>
  <c r="I16" i="5"/>
  <c r="F16" i="5"/>
  <c r="I17" i="5" l="1"/>
  <c r="F17" i="5"/>
  <c r="E18" i="5"/>
  <c r="G18" i="5" s="1"/>
  <c r="D18" i="5"/>
  <c r="C19" i="5"/>
  <c r="D19" i="5" l="1"/>
  <c r="C20" i="5"/>
  <c r="E19" i="5"/>
  <c r="G19" i="5" s="1"/>
  <c r="I18" i="5"/>
  <c r="F18" i="5"/>
  <c r="E20" i="5" l="1"/>
  <c r="G20" i="5" s="1"/>
  <c r="D20" i="5"/>
  <c r="C21" i="5"/>
  <c r="I19" i="5"/>
  <c r="F19" i="5"/>
  <c r="I20" i="5" l="1"/>
  <c r="F20" i="5"/>
  <c r="E21" i="5"/>
  <c r="G21" i="5" s="1"/>
  <c r="D21" i="5"/>
  <c r="C22" i="5"/>
  <c r="E22" i="5" l="1"/>
  <c r="G22" i="5" s="1"/>
  <c r="D22" i="5"/>
  <c r="C23" i="5"/>
  <c r="F21" i="5"/>
  <c r="I21" i="5"/>
  <c r="C24" i="5" l="1"/>
  <c r="E23" i="5"/>
  <c r="G23" i="5" s="1"/>
  <c r="D23" i="5"/>
  <c r="F22" i="5"/>
  <c r="I22" i="5"/>
  <c r="E24" i="5" l="1"/>
  <c r="G24" i="5" s="1"/>
  <c r="D24" i="5"/>
  <c r="C25" i="5"/>
  <c r="I23" i="5"/>
  <c r="F23" i="5"/>
  <c r="C26" i="5" l="1"/>
  <c r="D25" i="5"/>
  <c r="E25" i="5"/>
  <c r="G25" i="5" s="1"/>
  <c r="I24" i="5"/>
  <c r="F24" i="5"/>
  <c r="I25" i="5" l="1"/>
  <c r="F25" i="5"/>
  <c r="C27" i="5"/>
  <c r="E26" i="5"/>
  <c r="G26" i="5" s="1"/>
  <c r="D26" i="5"/>
  <c r="I26" i="5" l="1"/>
  <c r="F26" i="5"/>
  <c r="D27" i="5"/>
  <c r="C28" i="5"/>
  <c r="E27" i="5"/>
  <c r="G27" i="5" s="1"/>
  <c r="E28" i="5" l="1"/>
  <c r="G28" i="5" s="1"/>
  <c r="D28" i="5"/>
  <c r="C29" i="5"/>
  <c r="F27" i="5"/>
  <c r="I27" i="5"/>
  <c r="C30" i="5" l="1"/>
  <c r="E29" i="5"/>
  <c r="G29" i="5" s="1"/>
  <c r="D29" i="5"/>
  <c r="I28" i="5"/>
  <c r="F28" i="5"/>
  <c r="F29" i="5" l="1"/>
  <c r="I29" i="5"/>
  <c r="E30" i="5"/>
  <c r="G30" i="5" s="1"/>
  <c r="D30" i="5"/>
  <c r="C31" i="5"/>
  <c r="C32" i="5" l="1"/>
  <c r="D31" i="5"/>
  <c r="E31" i="5"/>
  <c r="G31" i="5" s="1"/>
  <c r="F30" i="5"/>
  <c r="I30" i="5"/>
  <c r="I31" i="5" l="1"/>
  <c r="F31" i="5"/>
  <c r="E32" i="5"/>
  <c r="G32" i="5" s="1"/>
  <c r="D32" i="5"/>
  <c r="C33" i="5"/>
  <c r="C34" i="5" l="1"/>
  <c r="D33" i="5"/>
  <c r="E33" i="5"/>
  <c r="G33" i="5" s="1"/>
  <c r="I32" i="5"/>
  <c r="F32" i="5"/>
  <c r="I33" i="5" l="1"/>
  <c r="F33" i="5"/>
  <c r="C35" i="5"/>
  <c r="E34" i="5"/>
  <c r="G34" i="5" s="1"/>
  <c r="D34" i="5"/>
  <c r="I34" i="5" l="1"/>
  <c r="F34" i="5"/>
  <c r="D35" i="5"/>
  <c r="C36" i="5"/>
  <c r="E35" i="5"/>
  <c r="G35" i="5" s="1"/>
  <c r="E36" i="5" l="1"/>
  <c r="G36" i="5" s="1"/>
  <c r="D36" i="5"/>
  <c r="C37" i="5"/>
  <c r="F35" i="5"/>
  <c r="I35" i="5"/>
  <c r="E37" i="5" l="1"/>
  <c r="G37" i="5" s="1"/>
  <c r="G38" i="5" s="1"/>
  <c r="D37" i="5"/>
  <c r="F36" i="5"/>
  <c r="F37" i="5" l="1"/>
  <c r="F38" i="5" s="1"/>
  <c r="I37" i="5" l="1"/>
  <c r="I38" i="5" s="1"/>
  <c r="H38" i="5"/>
  <c r="X54" i="2" l="1"/>
  <c r="AP66" i="2" s="1"/>
  <c r="Y50" i="2"/>
  <c r="Z46" i="2"/>
  <c r="AO56" i="2" s="1"/>
  <c r="AA42" i="2"/>
  <c r="AP51" i="2" s="1"/>
  <c r="AB38" i="2"/>
  <c r="AM47" i="2" s="1"/>
  <c r="AC34" i="2"/>
  <c r="AM42" i="2" s="1"/>
  <c r="AD30" i="2"/>
  <c r="AP36" i="2" s="1"/>
  <c r="AE26" i="2"/>
  <c r="AM32" i="2" s="1"/>
  <c r="AF22" i="2"/>
  <c r="AO26" i="2" s="1"/>
  <c r="AG18" i="2"/>
  <c r="AO21" i="2" s="1"/>
  <c r="AH14" i="2"/>
  <c r="AM16" i="2" s="1"/>
  <c r="AI10" i="2"/>
  <c r="AP10" i="2" s="1"/>
  <c r="AJ6" i="2"/>
  <c r="AP3" i="2" s="1"/>
  <c r="AO10" i="2" l="1"/>
  <c r="AP31" i="2"/>
  <c r="AM67" i="2"/>
  <c r="AP56" i="2"/>
  <c r="AP61" i="2"/>
  <c r="AM62" i="2"/>
  <c r="AM4" i="2"/>
  <c r="AM22" i="2"/>
  <c r="AO31" i="2"/>
  <c r="AM57" i="2"/>
  <c r="AM11" i="2"/>
  <c r="AP21" i="2"/>
  <c r="AM37" i="2"/>
  <c r="AO41" i="2"/>
  <c r="AO61" i="2"/>
  <c r="AO3" i="2"/>
  <c r="AM27" i="2"/>
  <c r="AO36" i="2"/>
  <c r="AP41" i="2"/>
  <c r="AO46" i="2"/>
  <c r="AO66" i="2"/>
  <c r="AO15" i="2"/>
  <c r="AP26" i="2"/>
  <c r="AP46" i="2"/>
  <c r="AP15" i="2"/>
  <c r="AO51" i="2"/>
  <c r="AM52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B2" i="2"/>
  <c r="C2" i="2" s="1"/>
  <c r="O13" i="1"/>
  <c r="D2" i="2" l="1"/>
  <c r="E2" i="2" s="1"/>
  <c r="F2" i="2" s="1"/>
  <c r="G2" i="2" s="1"/>
  <c r="H2" i="2" s="1"/>
  <c r="I2" i="2" s="1"/>
  <c r="J2" i="2" s="1"/>
  <c r="K2" i="2" s="1"/>
  <c r="L2" i="2" s="1"/>
  <c r="K6" i="1"/>
  <c r="M8" i="1"/>
  <c r="G46" i="1"/>
  <c r="G41" i="1"/>
  <c r="H38" i="1"/>
  <c r="G38" i="1"/>
  <c r="G37" i="1"/>
  <c r="H37" i="1"/>
  <c r="H36" i="1" l="1"/>
  <c r="G36" i="1"/>
  <c r="D59" i="1"/>
  <c r="D57" i="1"/>
  <c r="E56" i="1"/>
  <c r="D56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0" i="1"/>
  <c r="B15" i="1"/>
  <c r="C15" i="1"/>
  <c r="A15" i="1"/>
</calcChain>
</file>

<file path=xl/sharedStrings.xml><?xml version="1.0" encoding="utf-8"?>
<sst xmlns="http://schemas.openxmlformats.org/spreadsheetml/2006/main" count="207" uniqueCount="115">
  <si>
    <t>Среднее</t>
  </si>
  <si>
    <r>
      <t>Методы сравнения средних</t>
    </r>
    <r>
      <rPr>
        <sz val="11"/>
        <color rgb="FFFF0000"/>
        <rFont val="Calibri"/>
        <family val="2"/>
        <charset val="204"/>
        <scheme val="minor"/>
      </rPr>
      <t xml:space="preserve"> применяются в случаях исследования причин расхождения средних значений характеристик объекта, полученных в результате проведения нескольких экспериментов, так как сравнение средних результатов позволяет получить зависимости между переменными признаками, свойственными совокупности характеристик исследуемых объектов. Не используется, т.к. усреднять данные значения не имеет смысла</t>
    </r>
  </si>
  <si>
    <t>метод медиан применяется, когда имеются слишком большие или слишком малые значения, или усреднять не имеет смысла (когда значения завязаны на время или порядок)</t>
  </si>
  <si>
    <t>метод Форестера является наиболее точным. Используется для одномерного врменного ряда</t>
  </si>
  <si>
    <t>z-критерий: желательна размерность более 30 элементов, рапределение нормальное</t>
  </si>
  <si>
    <t>критерий серий не подходит, т.к. количество поворотных точек больше 1.5</t>
  </si>
  <si>
    <t>Форестер</t>
  </si>
  <si>
    <t>lt</t>
  </si>
  <si>
    <t>dt</t>
  </si>
  <si>
    <t>ut</t>
  </si>
  <si>
    <t>st</t>
  </si>
  <si>
    <t>Сумма</t>
  </si>
  <si>
    <t>t табл</t>
  </si>
  <si>
    <t>сигма D</t>
  </si>
  <si>
    <t>t набл</t>
  </si>
  <si>
    <t>Метод сравнения средних</t>
  </si>
  <si>
    <t>среднее</t>
  </si>
  <si>
    <t>сигма</t>
  </si>
  <si>
    <t>дисперсия</t>
  </si>
  <si>
    <t>Используя критерий фишера проверим гипотезу о равенстве дисперсий</t>
  </si>
  <si>
    <t>Frac</t>
  </si>
  <si>
    <t>Fkrit</t>
  </si>
  <si>
    <t>Кол-во факторов 1 (k1 = 1), K2 = 36 - 2 = 34</t>
  </si>
  <si>
    <t xml:space="preserve">Т.к. Frac &lt; Fkrit, то гипотеза h0, о равенстве дисперсий, не отвергается </t>
  </si>
  <si>
    <t>С помощью критерия Стьюдента проверяем гипотезу о равенстве средних</t>
  </si>
  <si>
    <t>tрас</t>
  </si>
  <si>
    <t>tkrit</t>
  </si>
  <si>
    <t>так как tрас &lt; t krit, следовательно тренд не существует</t>
  </si>
  <si>
    <t>Тренда нет</t>
  </si>
  <si>
    <t>tтабл&gt;tнабл</t>
  </si>
  <si>
    <t>тренда нет</t>
  </si>
  <si>
    <t>Коэф. Детерминации</t>
  </si>
  <si>
    <t>Коэф. Корреляции</t>
  </si>
  <si>
    <t>п.3.1.3</t>
  </si>
  <si>
    <t>Стандартная ошибка коэф. Корреляции</t>
  </si>
  <si>
    <t>п.3.1.4</t>
  </si>
  <si>
    <t xml:space="preserve">Оценим значимость коэф. Корреляции </t>
  </si>
  <si>
    <t>Расчётный критерий Стьюдента</t>
  </si>
  <si>
    <t>Табличный критерий Стьюдента (кол-во степеней свободы - 35)</t>
  </si>
  <si>
    <t>формирование изменчивости исходного ряда.</t>
  </si>
  <si>
    <t>Нулевая гипотеза не отвергается. Это означает, что тренд</t>
  </si>
  <si>
    <t>неслучайным образом не вносит определенный вклад в</t>
  </si>
  <si>
    <t>п.3.1.1</t>
  </si>
  <si>
    <t>Циклическая составляющая присутствует.</t>
  </si>
  <si>
    <t>возможно не нужны эти пункты, так как нет тренда</t>
  </si>
  <si>
    <t>R1</t>
  </si>
  <si>
    <t>t крит</t>
  </si>
  <si>
    <t>t набд</t>
  </si>
  <si>
    <t>t набл&gt;t крит</t>
  </si>
  <si>
    <t xml:space="preserve">отклоняем гипотезу о равенстве 0 коэффициента автокорреляции.  </t>
  </si>
  <si>
    <t>коэффициент автокорреляции статистически - значим</t>
  </si>
  <si>
    <t>R2</t>
  </si>
  <si>
    <t>Доверительный интервал</t>
  </si>
  <si>
    <t>R3</t>
  </si>
  <si>
    <t>t набл&lt;t крит</t>
  </si>
  <si>
    <t xml:space="preserve">принимаем гипотезу о равенстве 0 коэффициента автокорреляции. </t>
  </si>
  <si>
    <t>коэффициент автокорреляции статистически - не значим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</si>
  <si>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</si>
  <si>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</si>
  <si>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</si>
  <si>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</si>
  <si>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</si>
  <si>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</si>
  <si>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</si>
  <si>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</si>
  <si>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</si>
  <si>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</si>
  <si>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имеются периодические колебания с периодом, равным 6 </t>
  </si>
  <si>
    <t>t</t>
  </si>
  <si>
    <t>y1</t>
  </si>
  <si>
    <t>a1</t>
  </si>
  <si>
    <t>b1</t>
  </si>
  <si>
    <t>y2</t>
  </si>
  <si>
    <t>b2</t>
  </si>
  <si>
    <t>месяц</t>
  </si>
  <si>
    <t>ряд y</t>
  </si>
  <si>
    <t>cos(t)</t>
  </si>
  <si>
    <t>sin(t)</t>
  </si>
  <si>
    <t>y*cos(t)</t>
  </si>
  <si>
    <t>y*sin(t)</t>
  </si>
  <si>
    <t>ошибка</t>
  </si>
  <si>
    <t>cos(2t)</t>
  </si>
  <si>
    <t>sin(2t)</t>
  </si>
  <si>
    <t>y*cos(2t)</t>
  </si>
  <si>
    <t>y*sin(2t)</t>
  </si>
  <si>
    <t>a2</t>
  </si>
  <si>
    <t>cos(3t)</t>
  </si>
  <si>
    <t>sin(3t)</t>
  </si>
  <si>
    <t>y*cos(3t)</t>
  </si>
  <si>
    <t>y*sin(3t)</t>
  </si>
  <si>
    <t>y3</t>
  </si>
  <si>
    <t>a3</t>
  </si>
  <si>
    <t>b3</t>
  </si>
  <si>
    <t>&lt; 5%</t>
  </si>
  <si>
    <t>времен ряд</t>
  </si>
  <si>
    <t>скользящая средняя</t>
  </si>
  <si>
    <t>центрированная скользящая средняя</t>
  </si>
  <si>
    <t>S</t>
  </si>
  <si>
    <t>A</t>
  </si>
  <si>
    <t>среднее месяцев</t>
  </si>
  <si>
    <t>имеется цикл -  тренда нет</t>
  </si>
  <si>
    <t>Н0: r(τ )=0 при τ≠0</t>
  </si>
  <si>
    <t>r(t)</t>
  </si>
  <si>
    <t>t альфа</t>
  </si>
  <si>
    <t>сигма rt</t>
  </si>
  <si>
    <t>t альфа*сигма rt</t>
  </si>
  <si>
    <t>сдвиг</t>
  </si>
  <si>
    <t>r(t)&gt;t альфа*сигма t</t>
  </si>
  <si>
    <t>коэф автокоррел значим</t>
  </si>
  <si>
    <t>R14</t>
  </si>
  <si>
    <t>R15</t>
  </si>
  <si>
    <t>R16</t>
  </si>
  <si>
    <t>R17</t>
  </si>
  <si>
    <t>R18</t>
  </si>
  <si>
    <t>№ 3.2.3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</si>
</sst>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71" formatCode="0.00000"/>
    <numFmt numFmtId="173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0"/>
      <color rgb="FF333333"/>
      <name val="Arial"/>
      <family val="2"/>
      <charset val="204"/>
    </font>
    <font>
      <b/>
      <sz val="10"/>
      <color rgb="FF333333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4" borderId="0" xfId="0" applyFill="1"/>
    <xf numFmtId="0" fontId="3" fillId="5" borderId="0" xfId="0" applyFont="1" applyFill="1"/>
    <xf numFmtId="0" fontId="6" fillId="0" borderId="0" xfId="0" applyFont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4" borderId="0" xfId="0" applyFont="1" applyFill="1"/>
    <xf numFmtId="0" fontId="3" fillId="0" borderId="1" xfId="0" applyFont="1" applyBorder="1"/>
    <xf numFmtId="164" fontId="3" fillId="4" borderId="0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4" borderId="0" xfId="0" applyFont="1" applyFill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8" fillId="0" borderId="0" xfId="0" applyFont="1" applyBorder="1"/>
    <xf numFmtId="164" fontId="0" fillId="0" borderId="14" xfId="0" applyNumberFormat="1" applyBorder="1" applyAlignment="1">
      <alignment horizontal="center"/>
    </xf>
    <xf numFmtId="0" fontId="0" fillId="0" borderId="15" xfId="0" applyBorder="1"/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2" xfId="0" applyFont="1" applyBorder="1"/>
    <xf numFmtId="0" fontId="0" fillId="0" borderId="16" xfId="0" applyBorder="1"/>
    <xf numFmtId="0" fontId="0" fillId="0" borderId="1" xfId="0" applyBorder="1" applyAlignment="1">
      <alignment wrapText="1"/>
    </xf>
    <xf numFmtId="0" fontId="10" fillId="0" borderId="0" xfId="0" applyFont="1"/>
    <xf numFmtId="0" fontId="0" fillId="0" borderId="2" xfId="0" applyBorder="1" applyAlignment="1">
      <alignment wrapText="1"/>
    </xf>
    <xf numFmtId="2" fontId="0" fillId="0" borderId="1" xfId="0" applyNumberFormat="1" applyBorder="1"/>
    <xf numFmtId="0" fontId="0" fillId="0" borderId="0" xfId="0" applyFill="1"/>
    <xf numFmtId="0" fontId="0" fillId="0" borderId="1" xfId="0" applyFill="1" applyBorder="1"/>
    <xf numFmtId="0" fontId="3" fillId="0" borderId="0" xfId="0" applyFont="1" applyFill="1"/>
    <xf numFmtId="0" fontId="11" fillId="0" borderId="0" xfId="0" applyFont="1"/>
    <xf numFmtId="0" fontId="12" fillId="0" borderId="0" xfId="0" applyFont="1"/>
    <xf numFmtId="0" fontId="0" fillId="0" borderId="14" xfId="0" applyBorder="1"/>
    <xf numFmtId="0" fontId="3" fillId="0" borderId="1" xfId="0" applyFont="1" applyFill="1" applyBorder="1"/>
    <xf numFmtId="0" fontId="0" fillId="0" borderId="0" xfId="0" applyFill="1" applyBorder="1"/>
    <xf numFmtId="0" fontId="0" fillId="0" borderId="16" xfId="0" applyBorder="1" applyAlignment="1">
      <alignment horizontal="center" vertical="center"/>
    </xf>
    <xf numFmtId="0" fontId="3" fillId="8" borderId="1" xfId="0" applyFont="1" applyFill="1" applyBorder="1"/>
    <xf numFmtId="164" fontId="0" fillId="0" borderId="0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73" fontId="0" fillId="6" borderId="1" xfId="0" applyNumberFormat="1" applyFill="1" applyBorder="1" applyAlignment="1">
      <alignment horizontal="center" vertical="center"/>
    </xf>
    <xf numFmtId="171" fontId="0" fillId="0" borderId="1" xfId="0" applyNumberFormat="1" applyBorder="1"/>
    <xf numFmtId="171" fontId="0" fillId="0" borderId="14" xfId="0" applyNumberFormat="1" applyBorder="1"/>
    <xf numFmtId="173" fontId="0" fillId="0" borderId="1" xfId="0" applyNumberFormat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2" fontId="3" fillId="8" borderId="16" xfId="0" applyNumberFormat="1" applyFont="1" applyFill="1" applyBorder="1"/>
    <xf numFmtId="0" fontId="3" fillId="0" borderId="1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" fillId="0" borderId="0" xfId="0" applyFont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'Поиск тренда'!$A$19:$A$54</c:f>
              <c:numCache>
                <c:formatCode>0.0</c:formatCode>
                <c:ptCount val="36"/>
                <c:pt idx="0">
                  <c:v>8.4</c:v>
                </c:pt>
                <c:pt idx="1">
                  <c:v>8.1999999999999993</c:v>
                </c:pt>
                <c:pt idx="2">
                  <c:v>6.7</c:v>
                </c:pt>
                <c:pt idx="3">
                  <c:v>7.5</c:v>
                </c:pt>
                <c:pt idx="4">
                  <c:v>8.1</c:v>
                </c:pt>
                <c:pt idx="5">
                  <c:v>10</c:v>
                </c:pt>
                <c:pt idx="6">
                  <c:v>11.9</c:v>
                </c:pt>
                <c:pt idx="7">
                  <c:v>11.9</c:v>
                </c:pt>
                <c:pt idx="8">
                  <c:v>11.7</c:v>
                </c:pt>
                <c:pt idx="9">
                  <c:v>10.6</c:v>
                </c:pt>
                <c:pt idx="10">
                  <c:v>9</c:v>
                </c:pt>
                <c:pt idx="11">
                  <c:v>7.9</c:v>
                </c:pt>
                <c:pt idx="12">
                  <c:v>7.3</c:v>
                </c:pt>
                <c:pt idx="13">
                  <c:v>7.1</c:v>
                </c:pt>
                <c:pt idx="14">
                  <c:v>7.6</c:v>
                </c:pt>
                <c:pt idx="15">
                  <c:v>7.6</c:v>
                </c:pt>
                <c:pt idx="16">
                  <c:v>8.5</c:v>
                </c:pt>
                <c:pt idx="17">
                  <c:v>9.8000000000000007</c:v>
                </c:pt>
                <c:pt idx="18">
                  <c:v>10.9</c:v>
                </c:pt>
                <c:pt idx="19">
                  <c:v>11.7</c:v>
                </c:pt>
                <c:pt idx="20">
                  <c:v>11.7</c:v>
                </c:pt>
                <c:pt idx="21">
                  <c:v>10.4</c:v>
                </c:pt>
                <c:pt idx="22">
                  <c:v>9.6999999999999993</c:v>
                </c:pt>
                <c:pt idx="23">
                  <c:v>8.3000000000000007</c:v>
                </c:pt>
                <c:pt idx="24">
                  <c:v>7.5</c:v>
                </c:pt>
                <c:pt idx="25">
                  <c:v>7.2</c:v>
                </c:pt>
                <c:pt idx="26">
                  <c:v>8.1</c:v>
                </c:pt>
                <c:pt idx="27">
                  <c:v>7.8</c:v>
                </c:pt>
                <c:pt idx="28">
                  <c:v>8.8000000000000007</c:v>
                </c:pt>
                <c:pt idx="29">
                  <c:v>9.1</c:v>
                </c:pt>
                <c:pt idx="30">
                  <c:v>10.8</c:v>
                </c:pt>
                <c:pt idx="31">
                  <c:v>12</c:v>
                </c:pt>
                <c:pt idx="32">
                  <c:v>11.8</c:v>
                </c:pt>
                <c:pt idx="33">
                  <c:v>10</c:v>
                </c:pt>
                <c:pt idx="34">
                  <c:v>9.1</c:v>
                </c:pt>
                <c:pt idx="35">
                  <c:v>8.1999999999999993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70720"/>
        <c:axId val="525774640"/>
      </c:scatterChart>
      <c:valAx>
        <c:axId val="5257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774640"/>
        <c:crosses val="autoZero"/>
        <c:crossBetween val="midCat"/>
      </c:valAx>
      <c:valAx>
        <c:axId val="5257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7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временного ряда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'Поиск тренда'!$A$19:$A$54</c:f>
              <c:numCache>
                <c:formatCode>General</c:formatCode>
                <c:ptCount val="36"/>
                <c:pt idx="0">
                  <c:v>8.4</c:v>
                </c:pt>
                <c:pt idx="1">
                  <c:v>8.1999999999999993</c:v>
                </c:pt>
                <c:pt idx="2">
                  <c:v>6.7</c:v>
                </c:pt>
                <c:pt idx="3">
                  <c:v>7.5</c:v>
                </c:pt>
                <c:pt idx="4">
                  <c:v>8.1</c:v>
                </c:pt>
                <c:pt idx="5">
                  <c:v>10</c:v>
                </c:pt>
                <c:pt idx="6">
                  <c:v>11.9</c:v>
                </c:pt>
                <c:pt idx="7">
                  <c:v>11.9</c:v>
                </c:pt>
                <c:pt idx="8">
                  <c:v>11.7</c:v>
                </c:pt>
                <c:pt idx="9">
                  <c:v>10.6</c:v>
                </c:pt>
                <c:pt idx="10">
                  <c:v>9</c:v>
                </c:pt>
                <c:pt idx="11">
                  <c:v>7.9</c:v>
                </c:pt>
                <c:pt idx="12">
                  <c:v>7.3</c:v>
                </c:pt>
                <c:pt idx="13">
                  <c:v>7.1</c:v>
                </c:pt>
                <c:pt idx="14">
                  <c:v>7.6</c:v>
                </c:pt>
                <c:pt idx="15">
                  <c:v>7.6</c:v>
                </c:pt>
                <c:pt idx="16">
                  <c:v>8.5</c:v>
                </c:pt>
                <c:pt idx="17">
                  <c:v>9.8000000000000007</c:v>
                </c:pt>
                <c:pt idx="18">
                  <c:v>10.9</c:v>
                </c:pt>
                <c:pt idx="19">
                  <c:v>11.7</c:v>
                </c:pt>
                <c:pt idx="20">
                  <c:v>11.7</c:v>
                </c:pt>
                <c:pt idx="21">
                  <c:v>10.4</c:v>
                </c:pt>
                <c:pt idx="22">
                  <c:v>9.6999999999999993</c:v>
                </c:pt>
                <c:pt idx="23">
                  <c:v>8.3000000000000007</c:v>
                </c:pt>
                <c:pt idx="24">
                  <c:v>7.5</c:v>
                </c:pt>
                <c:pt idx="25">
                  <c:v>7.2</c:v>
                </c:pt>
                <c:pt idx="26">
                  <c:v>8.1</c:v>
                </c:pt>
                <c:pt idx="27">
                  <c:v>7.8</c:v>
                </c:pt>
                <c:pt idx="28">
                  <c:v>8.8000000000000007</c:v>
                </c:pt>
                <c:pt idx="29">
                  <c:v>9.1</c:v>
                </c:pt>
                <c:pt idx="30">
                  <c:v>10.8</c:v>
                </c:pt>
                <c:pt idx="31">
                  <c:v>12</c:v>
                </c:pt>
                <c:pt idx="32">
                  <c:v>11.8</c:v>
                </c:pt>
                <c:pt idx="33">
                  <c:v>10</c:v>
                </c:pt>
                <c:pt idx="34">
                  <c:v>9.1</c:v>
                </c:pt>
                <c:pt idx="35">
                  <c:v>8.1999999999999993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228208"/>
        <c:axId val="520225464"/>
      </c:lineChart>
      <c:catAx>
        <c:axId val="5202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25464"/>
        <c:crosses val="autoZero"/>
        <c:auto val="1"/>
        <c:lblAlgn val="ctr"/>
        <c:lblOffset val="100"/>
        <c:noMultiLvlLbl val="0"/>
      </c:catAx>
      <c:valAx>
        <c:axId val="5202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9.3724455784376395E-2"/>
          <c:w val="0.89019685039370078"/>
          <c:h val="0.865752314518529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[1]автокорреляция!$A$3:$AJ$3</c:f>
              <c:numCache>
                <c:formatCode>General</c:formatCode>
                <c:ptCount val="36"/>
                <c:pt idx="0">
                  <c:v>8.1</c:v>
                </c:pt>
                <c:pt idx="1">
                  <c:v>7.4</c:v>
                </c:pt>
                <c:pt idx="2">
                  <c:v>7.6</c:v>
                </c:pt>
                <c:pt idx="3">
                  <c:v>7.6</c:v>
                </c:pt>
                <c:pt idx="4">
                  <c:v>8</c:v>
                </c:pt>
                <c:pt idx="5">
                  <c:v>8.8000000000000007</c:v>
                </c:pt>
                <c:pt idx="6">
                  <c:v>11</c:v>
                </c:pt>
                <c:pt idx="7">
                  <c:v>11.9</c:v>
                </c:pt>
                <c:pt idx="8">
                  <c:v>11.4</c:v>
                </c:pt>
                <c:pt idx="9">
                  <c:v>9.6999999999999993</c:v>
                </c:pt>
                <c:pt idx="10">
                  <c:v>8</c:v>
                </c:pt>
                <c:pt idx="11">
                  <c:v>7.4</c:v>
                </c:pt>
                <c:pt idx="12">
                  <c:v>6.8</c:v>
                </c:pt>
                <c:pt idx="13">
                  <c:v>6.5</c:v>
                </c:pt>
                <c:pt idx="14">
                  <c:v>7.3</c:v>
                </c:pt>
                <c:pt idx="15">
                  <c:v>7.7</c:v>
                </c:pt>
                <c:pt idx="16">
                  <c:v>9.1999999999999993</c:v>
                </c:pt>
                <c:pt idx="17">
                  <c:v>10.6</c:v>
                </c:pt>
                <c:pt idx="18">
                  <c:v>11.7</c:v>
                </c:pt>
                <c:pt idx="19">
                  <c:v>12.3</c:v>
                </c:pt>
                <c:pt idx="20">
                  <c:v>11.1</c:v>
                </c:pt>
                <c:pt idx="21">
                  <c:v>10.1</c:v>
                </c:pt>
                <c:pt idx="22">
                  <c:v>9.4</c:v>
                </c:pt>
                <c:pt idx="23">
                  <c:v>8</c:v>
                </c:pt>
                <c:pt idx="24">
                  <c:v>7.1</c:v>
                </c:pt>
                <c:pt idx="25">
                  <c:v>7.8</c:v>
                </c:pt>
                <c:pt idx="26">
                  <c:v>9.3000000000000007</c:v>
                </c:pt>
                <c:pt idx="27">
                  <c:v>8</c:v>
                </c:pt>
                <c:pt idx="28">
                  <c:v>8.5</c:v>
                </c:pt>
                <c:pt idx="29">
                  <c:v>9.6999999999999993</c:v>
                </c:pt>
                <c:pt idx="30">
                  <c:v>11.1</c:v>
                </c:pt>
                <c:pt idx="31">
                  <c:v>11.9</c:v>
                </c:pt>
                <c:pt idx="32">
                  <c:v>11.5</c:v>
                </c:pt>
                <c:pt idx="33">
                  <c:v>10.1</c:v>
                </c:pt>
                <c:pt idx="34">
                  <c:v>7.9</c:v>
                </c:pt>
                <c:pt idx="35">
                  <c:v>7.1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E1-4C27-B545-7E0487C8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69544"/>
        <c:axId val="525775424"/>
      </c:scatterChart>
      <c:valAx>
        <c:axId val="52576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775424"/>
        <c:crosses val="autoZero"/>
        <c:crossBetween val="midCat"/>
      </c:valAx>
      <c:valAx>
        <c:axId val="5257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76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автокорреляционной функции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Автокорреляция!$AI$48:$AI$65</c:f>
              <c:numCache>
                <c:formatCode>General</c:formatCode>
                <c:ptCount val="18"/>
                <c:pt idx="0">
                  <c:v>0.81135466050816696</c:v>
                </c:pt>
                <c:pt idx="1">
                  <c:v>0.41702706713588178</c:v>
                </c:pt>
                <c:pt idx="2">
                  <c:v>-8.6302169638591664E-2</c:v>
                </c:pt>
                <c:pt idx="3">
                  <c:v>-0.52544407899158052</c:v>
                </c:pt>
                <c:pt idx="4">
                  <c:v>-0.81598336595886556</c:v>
                </c:pt>
                <c:pt idx="5">
                  <c:v>-0.8726561934890622</c:v>
                </c:pt>
                <c:pt idx="6">
                  <c:v>-0.76278989862365221</c:v>
                </c:pt>
                <c:pt idx="7">
                  <c:v>-0.43502256993602167</c:v>
                </c:pt>
                <c:pt idx="8">
                  <c:v>-8.7820678384337904E-3</c:v>
                </c:pt>
                <c:pt idx="9">
                  <c:v>0.45816996353943595</c:v>
                </c:pt>
                <c:pt idx="10">
                  <c:v>0.80950785384260771</c:v>
                </c:pt>
                <c:pt idx="11">
                  <c:v>0.95068691568540098</c:v>
                </c:pt>
                <c:pt idx="12">
                  <c:v>0.82170632746572125</c:v>
                </c:pt>
                <c:pt idx="13">
                  <c:v>0.46481572239140861</c:v>
                </c:pt>
                <c:pt idx="14">
                  <c:v>-4.0553300739033578E-2</c:v>
                </c:pt>
                <c:pt idx="15">
                  <c:v>-0.49773710715339425</c:v>
                </c:pt>
                <c:pt idx="16">
                  <c:v>-0.80265941693186693</c:v>
                </c:pt>
                <c:pt idx="17">
                  <c:v>-0.86924888713623982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5F-4C83-9C59-0EBA540FA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73464"/>
        <c:axId val="525770328"/>
      </c:scatterChart>
      <c:valAx>
        <c:axId val="52577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770328"/>
        <c:crosses val="autoZero"/>
        <c:crossBetween val="midCat"/>
      </c:valAx>
      <c:valAx>
        <c:axId val="5257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77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Автокорреляция!$AI$48:$AI$65</c:f>
              <c:numCache>
                <c:formatCode>General</c:formatCode>
                <c:ptCount val="18"/>
                <c:pt idx="0">
                  <c:v>0.81135466050816696</c:v>
                </c:pt>
                <c:pt idx="1">
                  <c:v>0.41702706713588178</c:v>
                </c:pt>
                <c:pt idx="2">
                  <c:v>-8.6302169638591664E-2</c:v>
                </c:pt>
                <c:pt idx="3">
                  <c:v>-0.52544407899158052</c:v>
                </c:pt>
                <c:pt idx="4">
                  <c:v>-0.81598336595886556</c:v>
                </c:pt>
                <c:pt idx="5">
                  <c:v>-0.8726561934890622</c:v>
                </c:pt>
                <c:pt idx="6">
                  <c:v>-0.76278989862365221</c:v>
                </c:pt>
                <c:pt idx="7">
                  <c:v>-0.43502256993602167</c:v>
                </c:pt>
                <c:pt idx="8">
                  <c:v>-8.7820678384337904E-3</c:v>
                </c:pt>
                <c:pt idx="9">
                  <c:v>0.45816996353943595</c:v>
                </c:pt>
                <c:pt idx="10">
                  <c:v>0.80950785384260771</c:v>
                </c:pt>
                <c:pt idx="11">
                  <c:v>0.95068691568540098</c:v>
                </c:pt>
                <c:pt idx="12">
                  <c:v>0.82170632746572125</c:v>
                </c:pt>
                <c:pt idx="13">
                  <c:v>0.46481572239140861</c:v>
                </c:pt>
                <c:pt idx="14">
                  <c:v>-4.0553300739033578E-2</c:v>
                </c:pt>
                <c:pt idx="15">
                  <c:v>-0.49773710715339425</c:v>
                </c:pt>
                <c:pt idx="16">
                  <c:v>-0.80265941693186693</c:v>
                </c:pt>
                <c:pt idx="17">
                  <c:v>-0.86924888713623982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02-4CDE-B844-78B2605C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17792"/>
        <c:axId val="601420928"/>
      </c:scatterChart>
      <c:valAx>
        <c:axId val="6014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420928"/>
        <c:crosses val="autoZero"/>
        <c:crossBetween val="midCat"/>
      </c:valAx>
      <c:valAx>
        <c:axId val="6014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4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'Разложение фурье '!$A$45</c:f>
              <c:strCache>
                <c:ptCount val="1"/>
                <c:pt idx="0">
                  <c:v>ряд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'Разложение фурье '!$A$46:$A$81</c:f>
              <c:numCache>
                <c:formatCode>General</c:formatCode>
                <c:ptCount val="36"/>
                <c:pt idx="0">
                  <c:v>8.4</c:v>
                </c:pt>
                <c:pt idx="1">
                  <c:v>8.1999999999999993</c:v>
                </c:pt>
                <c:pt idx="2">
                  <c:v>6.7</c:v>
                </c:pt>
                <c:pt idx="3">
                  <c:v>7.5</c:v>
                </c:pt>
                <c:pt idx="4">
                  <c:v>8.1</c:v>
                </c:pt>
                <c:pt idx="5">
                  <c:v>10</c:v>
                </c:pt>
                <c:pt idx="6">
                  <c:v>11.9</c:v>
                </c:pt>
                <c:pt idx="7">
                  <c:v>11.9</c:v>
                </c:pt>
                <c:pt idx="8">
                  <c:v>11.7</c:v>
                </c:pt>
                <c:pt idx="9">
                  <c:v>10.6</c:v>
                </c:pt>
                <c:pt idx="10">
                  <c:v>9</c:v>
                </c:pt>
                <c:pt idx="11">
                  <c:v>7.9</c:v>
                </c:pt>
                <c:pt idx="12">
                  <c:v>7.3</c:v>
                </c:pt>
                <c:pt idx="13">
                  <c:v>7.1</c:v>
                </c:pt>
                <c:pt idx="14">
                  <c:v>7.6</c:v>
                </c:pt>
                <c:pt idx="15">
                  <c:v>7.6</c:v>
                </c:pt>
                <c:pt idx="16">
                  <c:v>8.5</c:v>
                </c:pt>
                <c:pt idx="17">
                  <c:v>9.8000000000000007</c:v>
                </c:pt>
                <c:pt idx="18">
                  <c:v>10.9</c:v>
                </c:pt>
                <c:pt idx="19">
                  <c:v>11.7</c:v>
                </c:pt>
                <c:pt idx="20">
                  <c:v>11.7</c:v>
                </c:pt>
                <c:pt idx="21">
                  <c:v>10.4</c:v>
                </c:pt>
                <c:pt idx="22">
                  <c:v>9.6999999999999993</c:v>
                </c:pt>
                <c:pt idx="23">
                  <c:v>8.3000000000000007</c:v>
                </c:pt>
                <c:pt idx="24">
                  <c:v>7.5</c:v>
                </c:pt>
                <c:pt idx="25">
                  <c:v>7.2</c:v>
                </c:pt>
                <c:pt idx="26">
                  <c:v>8.1</c:v>
                </c:pt>
                <c:pt idx="27">
                  <c:v>7.8</c:v>
                </c:pt>
                <c:pt idx="28">
                  <c:v>8.8000000000000007</c:v>
                </c:pt>
                <c:pt idx="29">
                  <c:v>9.1</c:v>
                </c:pt>
                <c:pt idx="30">
                  <c:v>10.8</c:v>
                </c:pt>
                <c:pt idx="31">
                  <c:v>12</c:v>
                </c:pt>
                <c:pt idx="32">
                  <c:v>11.8</c:v>
                </c:pt>
                <c:pt idx="33">
                  <c:v>10</c:v>
                </c:pt>
                <c:pt idx="34">
                  <c:v>9.1</c:v>
                </c:pt>
                <c:pt idx="35">
                  <c:v>8.1999999999999993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B-45EE-91C4-A345118F87CE}"/>
            </c:ext>
          </c:extLst>
        </c:ser>
        <c:ser>
          <c:idx val="1"/>
          <c:order val="1"/>
          <c:tx>
            <c:strRef>
              <c:f>'Разложение фурье '!$B$45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'Разложение фурье '!$B$46:$B$81</c:f>
              <c:numCache>
                <c:formatCode>General</c:formatCode>
                <c:ptCount val="36"/>
                <c:pt idx="0">
                  <c:v>9.286236480667597</c:v>
                </c:pt>
                <c:pt idx="1">
                  <c:v>9.2811661690810645</c:v>
                </c:pt>
                <c:pt idx="2">
                  <c:v>9.2750644878456896</c:v>
                </c:pt>
                <c:pt idx="3">
                  <c:v>9.2681168334582136</c:v>
                </c:pt>
                <c:pt idx="4">
                  <c:v>9.2605343068815138</c:v>
                </c:pt>
                <c:pt idx="5">
                  <c:v>9.2525472993486826</c:v>
                </c:pt>
                <c:pt idx="6">
                  <c:v>9.2443984920419826</c:v>
                </c:pt>
                <c:pt idx="7">
                  <c:v>9.2363354823479344</c:v>
                </c:pt>
                <c:pt idx="8">
                  <c:v>9.2286032607360085</c:v>
                </c:pt>
                <c:pt idx="9">
                  <c:v>9.2214367668471908</c:v>
                </c:pt>
                <c:pt idx="10">
                  <c:v>9.215053750971876</c:v>
                </c:pt>
                <c:pt idx="11">
                  <c:v>9.2096481578174707</c:v>
                </c:pt>
                <c:pt idx="12">
                  <c:v>9.2053842335966092</c:v>
                </c:pt>
                <c:pt idx="13">
                  <c:v>9.2023915354890935</c:v>
                </c:pt>
                <c:pt idx="14">
                  <c:v>9.2007609951125424</c:v>
                </c:pt>
                <c:pt idx="15">
                  <c:v>9.2005421556112008</c:v>
                </c:pt>
                <c:pt idx="16">
                  <c:v>9.2017416663125857</c:v>
                </c:pt>
                <c:pt idx="17">
                  <c:v>9.2043230806910117</c:v>
                </c:pt>
                <c:pt idx="18">
                  <c:v>9.2082079637768501</c:v>
                </c:pt>
                <c:pt idx="19">
                  <c:v>9.2132782753633826</c:v>
                </c:pt>
                <c:pt idx="20">
                  <c:v>9.2193799565987575</c:v>
                </c:pt>
                <c:pt idx="21">
                  <c:v>9.2263276109862336</c:v>
                </c:pt>
                <c:pt idx="22">
                  <c:v>9.2339101375629333</c:v>
                </c:pt>
                <c:pt idx="23">
                  <c:v>9.2418971450957645</c:v>
                </c:pt>
                <c:pt idx="24">
                  <c:v>9.2500459524024645</c:v>
                </c:pt>
                <c:pt idx="25">
                  <c:v>9.2581089620965127</c:v>
                </c:pt>
                <c:pt idx="26">
                  <c:v>9.2658411837084387</c:v>
                </c:pt>
                <c:pt idx="27">
                  <c:v>9.2730076775972563</c:v>
                </c:pt>
                <c:pt idx="28">
                  <c:v>9.2793906934725712</c:v>
                </c:pt>
                <c:pt idx="29">
                  <c:v>9.2847962866269764</c:v>
                </c:pt>
                <c:pt idx="30">
                  <c:v>9.289060210847838</c:v>
                </c:pt>
                <c:pt idx="31">
                  <c:v>9.2920529089553536</c:v>
                </c:pt>
                <c:pt idx="32">
                  <c:v>9.2936834493319047</c:v>
                </c:pt>
                <c:pt idx="33">
                  <c:v>9.2939022888332445</c:v>
                </c:pt>
                <c:pt idx="34">
                  <c:v>9.2927027781318614</c:v>
                </c:pt>
                <c:pt idx="35">
                  <c:v>9.2901213637534372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'Разложение фурье '!$C$45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'Разложение фурье '!$C$46:$C$81</c:f>
              <c:numCache>
                <c:formatCode>General</c:formatCode>
                <c:ptCount val="36"/>
                <c:pt idx="0">
                  <c:v>9.29015724213372</c:v>
                </c:pt>
                <c:pt idx="1">
                  <c:v>9.3270341927663569</c:v>
                </c:pt>
                <c:pt idx="2">
                  <c:v>9.3573474131537715</c:v>
                </c:pt>
                <c:pt idx="3">
                  <c:v>9.3768901252302843</c:v>
                </c:pt>
                <c:pt idx="4">
                  <c:v>9.3826783008070507</c:v>
                </c:pt>
                <c:pt idx="5">
                  <c:v>9.3733296271068998</c:v>
                </c:pt>
                <c:pt idx="6">
                  <c:v>9.3492510223479304</c:v>
                </c:pt>
                <c:pt idx="7">
                  <c:v>9.3126114525881771</c:v>
                </c:pt>
                <c:pt idx="8">
                  <c:v>9.2671026631861455</c:v>
                </c:pt>
                <c:pt idx="9">
                  <c:v>9.2175160053810679</c:v>
                </c:pt>
                <c:pt idx="10">
                  <c:v>9.1691857272865835</c:v>
                </c:pt>
                <c:pt idx="11">
                  <c:v>9.1273652325093888</c:v>
                </c:pt>
                <c:pt idx="12">
                  <c:v>9.0966109418245384</c:v>
                </c:pt>
                <c:pt idx="13">
                  <c:v>9.0802475415635566</c:v>
                </c:pt>
                <c:pt idx="14">
                  <c:v>9.0799786673543252</c:v>
                </c:pt>
                <c:pt idx="15">
                  <c:v>9.0956896253052513</c:v>
                </c:pt>
                <c:pt idx="16">
                  <c:v>9.125465696072343</c:v>
                </c:pt>
                <c:pt idx="17">
                  <c:v>9.1658236782408746</c:v>
                </c:pt>
                <c:pt idx="18">
                  <c:v>9.2121287252429731</c:v>
                </c:pt>
                <c:pt idx="19">
                  <c:v>9.259146299048675</c:v>
                </c:pt>
                <c:pt idx="20">
                  <c:v>9.3016628819068394</c:v>
                </c:pt>
                <c:pt idx="21">
                  <c:v>9.3351009027583043</c:v>
                </c:pt>
                <c:pt idx="22">
                  <c:v>9.3560541314884702</c:v>
                </c:pt>
                <c:pt idx="23">
                  <c:v>9.3626794728539817</c:v>
                </c:pt>
                <c:pt idx="24">
                  <c:v>9.3548984827084141</c:v>
                </c:pt>
                <c:pt idx="25">
                  <c:v>9.3343849323367554</c:v>
                </c:pt>
                <c:pt idx="26">
                  <c:v>9.3043405861585757</c:v>
                </c:pt>
                <c:pt idx="27">
                  <c:v>9.2690869161311333</c:v>
                </c:pt>
                <c:pt idx="28">
                  <c:v>9.2335226697872805</c:v>
                </c:pt>
                <c:pt idx="29">
                  <c:v>9.2025133613188945</c:v>
                </c:pt>
                <c:pt idx="30">
                  <c:v>9.1802869190757672</c:v>
                </c:pt>
                <c:pt idx="31">
                  <c:v>9.1699089150298168</c:v>
                </c:pt>
                <c:pt idx="32">
                  <c:v>9.1729011215736875</c:v>
                </c:pt>
                <c:pt idx="33">
                  <c:v>9.189049758527295</c:v>
                </c:pt>
                <c:pt idx="34">
                  <c:v>9.2164268078916187</c:v>
                </c:pt>
                <c:pt idx="35">
                  <c:v>9.2516219613033002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'Разложение фурье '!$D$45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'Разложение фурье '!$D$46:$D$81</c:f>
              <c:numCache>
                <c:formatCode>General</c:formatCode>
                <c:ptCount val="36"/>
                <c:pt idx="0">
                  <c:v>7.5767101806555814</c:v>
                </c:pt>
                <c:pt idx="1">
                  <c:v>7.1330458945552904</c:v>
                </c:pt>
                <c:pt idx="2">
                  <c:v>7.2706952709187664</c:v>
                </c:pt>
                <c:pt idx="3">
                  <c:v>7.9566908953678812</c:v>
                </c:pt>
                <c:pt idx="4">
                  <c:v>9.0094732200501841</c:v>
                </c:pt>
                <c:pt idx="5">
                  <c:v>10.147118695455564</c:v>
                </c:pt>
                <c:pt idx="6">
                  <c:v>11.062698083826069</c:v>
                </c:pt>
                <c:pt idx="7">
                  <c:v>11.506599750799243</c:v>
                </c:pt>
                <c:pt idx="8">
                  <c:v>11.353754805421151</c:v>
                </c:pt>
                <c:pt idx="9">
                  <c:v>10.637715235243471</c:v>
                </c:pt>
                <c:pt idx="10">
                  <c:v>9.5423908080434501</c:v>
                </c:pt>
                <c:pt idx="11">
                  <c:v>8.3535761641607245</c:v>
                </c:pt>
                <c:pt idx="12">
                  <c:v>7.3831638803463999</c:v>
                </c:pt>
                <c:pt idx="13">
                  <c:v>6.886259243352491</c:v>
                </c:pt>
                <c:pt idx="14">
                  <c:v>6.9933265251193193</c:v>
                </c:pt>
                <c:pt idx="15">
                  <c:v>7.6754903954428446</c:v>
                </c:pt>
                <c:pt idx="16">
                  <c:v>8.7522606153154712</c:v>
                </c:pt>
                <c:pt idx="17">
                  <c:v>9.9396127465895301</c:v>
                </c:pt>
                <c:pt idx="18">
                  <c:v>10.925575786721106</c:v>
                </c:pt>
                <c:pt idx="19">
                  <c:v>11.453134597259739</c:v>
                </c:pt>
                <c:pt idx="20">
                  <c:v>11.388315024141848</c:v>
                </c:pt>
                <c:pt idx="21">
                  <c:v>10.755300132620718</c:v>
                </c:pt>
                <c:pt idx="22">
                  <c:v>9.729259212245351</c:v>
                </c:pt>
                <c:pt idx="23">
                  <c:v>8.5888904045053334</c:v>
                </c:pt>
                <c:pt idx="24">
                  <c:v>7.6414514212302862</c:v>
                </c:pt>
                <c:pt idx="25">
                  <c:v>7.1403966341256933</c:v>
                </c:pt>
                <c:pt idx="26">
                  <c:v>7.2176884439235636</c:v>
                </c:pt>
                <c:pt idx="27">
                  <c:v>7.8488876862687142</c:v>
                </c:pt>
                <c:pt idx="28">
                  <c:v>8.8603175890303909</c:v>
                </c:pt>
                <c:pt idx="29">
                  <c:v>9.9763024296675358</c:v>
                </c:pt>
                <c:pt idx="30">
                  <c:v>10.89373398055389</c:v>
                </c:pt>
                <c:pt idx="31">
                  <c:v>11.363897213240877</c:v>
                </c:pt>
                <c:pt idx="32">
                  <c:v>11.259553263808701</c:v>
                </c:pt>
                <c:pt idx="33">
                  <c:v>10.609248988389721</c:v>
                </c:pt>
                <c:pt idx="34">
                  <c:v>9.5896318886485172</c:v>
                </c:pt>
                <c:pt idx="35">
                  <c:v>8.477832892954666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671928"/>
        <c:axId val="663676240"/>
      </c:lineChart>
      <c:catAx>
        <c:axId val="6636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676240"/>
        <c:crosses val="autoZero"/>
        <c:auto val="1"/>
        <c:lblAlgn val="ctr"/>
        <c:lblOffset val="100"/>
        <c:noMultiLvlLbl val="0"/>
      </c:catAx>
      <c:valAx>
        <c:axId val="6636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67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50</xdr:row>
      <xdr:rowOff>68580</xdr:rowOff>
    </xdr:from>
    <xdr:to>
      <xdr:col>17</xdr:col>
      <xdr:colOff>548640</xdr:colOff>
      <xdr:row>62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50</xdr:row>
      <xdr:rowOff>26670</xdr:rowOff>
    </xdr:from>
    <xdr:to>
      <xdr:col>11</xdr:col>
      <xdr:colOff>129540</xdr:colOff>
      <xdr:row>65</xdr:row>
      <xdr:rowOff>26670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125506</xdr:colOff>
      <xdr:row>20</xdr:row>
      <xdr:rowOff>805927</xdr:rowOff>
    </xdr:from>
    <xdr:to>
      <xdr:col>56</xdr:col>
      <xdr:colOff>430306</xdr:colOff>
      <xdr:row>36</xdr:row>
      <xdr:rowOff>556709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139512</xdr:colOff>
      <xdr:row>53</xdr:row>
      <xdr:rowOff>149597</xdr:rowOff>
    </xdr:from>
    <xdr:to>
      <xdr:col>33</xdr:col>
      <xdr:colOff>444312</xdr:colOff>
      <xdr:row>62</xdr:row>
      <xdr:rowOff>141081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35858</xdr:colOff>
      <xdr:row>62</xdr:row>
      <xdr:rowOff>98611</xdr:rowOff>
    </xdr:from>
    <xdr:to>
      <xdr:col>33</xdr:col>
      <xdr:colOff>493059</xdr:colOff>
      <xdr:row>73</xdr:row>
      <xdr:rowOff>17929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84333D24-2C2A-FF98-563F-AFA46A1A5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45</xdr:row>
      <xdr:rowOff>152400</xdr:rowOff>
    </xdr:from>
    <xdr:to>
      <xdr:col>12</xdr:col>
      <xdr:colOff>201082</xdr:colOff>
      <xdr:row>60</xdr:row>
      <xdr:rowOff>131233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8F04F114-3769-4495-BA80-7ACBEEDC6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h_zadanie3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achy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adani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медиан"/>
      <sheetName val="Лист1"/>
      <sheetName val="форестер"/>
      <sheetName val="ур-е тренда и S"/>
      <sheetName val="Регрессионный анализ"/>
      <sheetName val="Значимость r"/>
      <sheetName val="автокорреляция"/>
      <sheetName val="ряды Фурье"/>
      <sheetName val="Лист2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>
            <v>8.1</v>
          </cell>
          <cell r="B3">
            <v>7.4</v>
          </cell>
          <cell r="C3">
            <v>7.6</v>
          </cell>
          <cell r="D3">
            <v>7.6</v>
          </cell>
          <cell r="E3">
            <v>8</v>
          </cell>
          <cell r="F3">
            <v>8.8000000000000007</v>
          </cell>
          <cell r="G3">
            <v>11</v>
          </cell>
          <cell r="H3">
            <v>11.9</v>
          </cell>
          <cell r="I3">
            <v>11.4</v>
          </cell>
          <cell r="J3">
            <v>9.6999999999999993</v>
          </cell>
          <cell r="K3">
            <v>8</v>
          </cell>
          <cell r="L3">
            <v>7.4</v>
          </cell>
          <cell r="M3">
            <v>6.8</v>
          </cell>
          <cell r="N3">
            <v>6.5</v>
          </cell>
          <cell r="O3">
            <v>7.3</v>
          </cell>
          <cell r="P3">
            <v>7.7</v>
          </cell>
          <cell r="Q3">
            <v>9.1999999999999993</v>
          </cell>
          <cell r="R3">
            <v>10.6</v>
          </cell>
          <cell r="S3">
            <v>11.7</v>
          </cell>
          <cell r="T3">
            <v>12.3</v>
          </cell>
          <cell r="U3">
            <v>11.1</v>
          </cell>
          <cell r="V3">
            <v>10.1</v>
          </cell>
          <cell r="W3">
            <v>9.4</v>
          </cell>
          <cell r="X3">
            <v>8</v>
          </cell>
          <cell r="Y3">
            <v>7.1</v>
          </cell>
          <cell r="Z3">
            <v>7.8</v>
          </cell>
          <cell r="AA3">
            <v>9.3000000000000007</v>
          </cell>
          <cell r="AB3">
            <v>8</v>
          </cell>
          <cell r="AC3">
            <v>8.5</v>
          </cell>
          <cell r="AD3">
            <v>9.6999999999999993</v>
          </cell>
          <cell r="AE3">
            <v>11.1</v>
          </cell>
          <cell r="AF3">
            <v>11.9</v>
          </cell>
          <cell r="AG3">
            <v>11.5</v>
          </cell>
          <cell r="AH3">
            <v>10.1</v>
          </cell>
          <cell r="AI3">
            <v>7.9</v>
          </cell>
          <cell r="AJ3">
            <v>7.1</v>
          </cell>
        </row>
        <row r="48">
          <cell r="AI48">
            <v>0.79396267361295203</v>
          </cell>
        </row>
        <row r="49">
          <cell r="AI49">
            <v>0.3499007384617383</v>
          </cell>
        </row>
        <row r="50">
          <cell r="AI50">
            <v>-0.11339546251703649</v>
          </cell>
        </row>
        <row r="51">
          <cell r="AI51">
            <v>-0.49599499213922987</v>
          </cell>
        </row>
        <row r="52">
          <cell r="AI52">
            <v>-0.74089470719891648</v>
          </cell>
        </row>
        <row r="53">
          <cell r="AI53">
            <v>-0.78096174159923204</v>
          </cell>
        </row>
        <row r="54">
          <cell r="AI54">
            <v>-0.62156872944703512</v>
          </cell>
        </row>
        <row r="55">
          <cell r="AI55">
            <v>-0.34763156040523424</v>
          </cell>
        </row>
        <row r="56">
          <cell r="AI56">
            <v>5.1248608842220315E-2</v>
          </cell>
        </row>
        <row r="57">
          <cell r="AI57">
            <v>0.50578616539479959</v>
          </cell>
        </row>
        <row r="58">
          <cell r="AI58">
            <v>0.79119220531902301</v>
          </cell>
        </row>
        <row r="59">
          <cell r="AI59">
            <v>0.85801521959803662</v>
          </cell>
        </row>
        <row r="60">
          <cell r="AI60">
            <v>0.67365984647353527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критерий ирвина"/>
      <sheetName val="Лист2"/>
      <sheetName val="Лист5"/>
      <sheetName val="Лист4"/>
    </sheetNames>
    <sheetDataSet>
      <sheetData sheetId="0"/>
      <sheetData sheetId="1"/>
      <sheetData sheetId="2"/>
      <sheetData sheetId="3"/>
      <sheetData sheetId="4">
        <row r="99">
          <cell r="F99">
            <v>0.99390388421015885</v>
          </cell>
        </row>
        <row r="100">
          <cell r="F100">
            <v>0.98008959362569614</v>
          </cell>
        </row>
        <row r="101">
          <cell r="F101">
            <v>0.9645340770996047</v>
          </cell>
        </row>
        <row r="102">
          <cell r="F102">
            <v>0.94627715818294178</v>
          </cell>
        </row>
        <row r="103">
          <cell r="F103">
            <v>0.92690212893022161</v>
          </cell>
        </row>
        <row r="104">
          <cell r="F104">
            <v>0.90950248507722664</v>
          </cell>
        </row>
        <row r="105">
          <cell r="F105">
            <v>0.89596721099247278</v>
          </cell>
        </row>
        <row r="106">
          <cell r="F106">
            <v>0.88773089414917761</v>
          </cell>
        </row>
        <row r="107">
          <cell r="F107">
            <v>0.88403991833085604</v>
          </cell>
        </row>
        <row r="108">
          <cell r="F108">
            <v>0.88257496115064671</v>
          </cell>
        </row>
        <row r="109">
          <cell r="F109">
            <v>0.88223105711802752</v>
          </cell>
        </row>
        <row r="110">
          <cell r="F110">
            <v>0.88121038341780678</v>
          </cell>
        </row>
        <row r="111">
          <cell r="F111">
            <v>0.87773190030568382</v>
          </cell>
        </row>
        <row r="112">
          <cell r="F112">
            <v>0.87195599339573993</v>
          </cell>
        </row>
        <row r="113">
          <cell r="F113">
            <v>0.86477047023238529</v>
          </cell>
        </row>
        <row r="114">
          <cell r="F114">
            <v>0.85809095151500248</v>
          </cell>
        </row>
        <row r="115">
          <cell r="F115">
            <v>0.85318779090079255</v>
          </cell>
        </row>
        <row r="116">
          <cell r="F116">
            <v>0.8478577872809423</v>
          </cell>
        </row>
        <row r="117">
          <cell r="F117">
            <v>0.84424940564432061</v>
          </cell>
        </row>
        <row r="118">
          <cell r="F118">
            <v>0.84523385541719298</v>
          </cell>
        </row>
        <row r="119">
          <cell r="F119">
            <v>0.84719674291072533</v>
          </cell>
        </row>
        <row r="120">
          <cell r="F120">
            <v>0.84830537562670305</v>
          </cell>
        </row>
        <row r="121">
          <cell r="F121">
            <v>0.84729128985238145</v>
          </cell>
        </row>
        <row r="122">
          <cell r="F122">
            <v>0.84296537910844926</v>
          </cell>
        </row>
        <row r="123">
          <cell r="F123">
            <v>0.83603037397499524</v>
          </cell>
        </row>
        <row r="124">
          <cell r="F124">
            <v>0.82643182710085306</v>
          </cell>
        </row>
        <row r="125">
          <cell r="F125">
            <v>0.81545646716690712</v>
          </cell>
        </row>
        <row r="126">
          <cell r="F126">
            <v>0.80576875694636463</v>
          </cell>
        </row>
        <row r="127">
          <cell r="F127">
            <v>0.79871246367689974</v>
          </cell>
        </row>
        <row r="128">
          <cell r="F128">
            <v>0.7950716930526236</v>
          </cell>
        </row>
        <row r="129">
          <cell r="F129">
            <v>0.79578287109452084</v>
          </cell>
        </row>
        <row r="130">
          <cell r="F130">
            <v>0.802628139343189</v>
          </cell>
        </row>
        <row r="131">
          <cell r="F131">
            <v>0.81720938724337744</v>
          </cell>
        </row>
        <row r="132">
          <cell r="F132">
            <v>0.83528434377919558</v>
          </cell>
        </row>
        <row r="133">
          <cell r="F133">
            <v>0.84963737765796055</v>
          </cell>
        </row>
        <row r="134">
          <cell r="F134">
            <v>0.85732837393739814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.1"/>
    </sheetNames>
    <sheetDataSet>
      <sheetData sheetId="0">
        <row r="235">
          <cell r="A235" t="str">
            <v>y</v>
          </cell>
          <cell r="B235" t="str">
            <v>y1</v>
          </cell>
          <cell r="C235" t="str">
            <v>y2</v>
          </cell>
          <cell r="D235" t="str">
            <v>y3</v>
          </cell>
          <cell r="E235" t="str">
            <v>y4</v>
          </cell>
          <cell r="F235" t="str">
            <v>y5</v>
          </cell>
        </row>
        <row r="236">
          <cell r="A236">
            <v>7.6</v>
          </cell>
          <cell r="B236">
            <v>9.4958728080493167</v>
          </cell>
          <cell r="C236">
            <v>9.359737601272581</v>
          </cell>
          <cell r="D236">
            <v>7.3749194980315655</v>
          </cell>
          <cell r="E236">
            <v>6.9199327676552391</v>
          </cell>
          <cell r="F236">
            <v>7.0884316006330774</v>
          </cell>
        </row>
        <row r="237">
          <cell r="A237">
            <v>7.1</v>
          </cell>
          <cell r="B237">
            <v>9.5446150566382606</v>
          </cell>
          <cell r="C237">
            <v>9.5078338635358683</v>
          </cell>
          <cell r="D237">
            <v>7.0926205204598638</v>
          </cell>
          <cell r="E237">
            <v>6.5737647106050598</v>
          </cell>
          <cell r="F237">
            <v>6.6167020782556865</v>
          </cell>
        </row>
        <row r="238">
          <cell r="A238">
            <v>7.4</v>
          </cell>
          <cell r="B238">
            <v>9.5950401487051149</v>
          </cell>
          <cell r="C238">
            <v>9.6620493239978114</v>
          </cell>
          <cell r="D238">
            <v>7.4635952059129052</v>
          </cell>
          <cell r="E238">
            <v>7.1236487164506919</v>
          </cell>
          <cell r="F238">
            <v>7.0103490993096109</v>
          </cell>
        </row>
        <row r="239">
          <cell r="A239">
            <v>7.8</v>
          </cell>
          <cell r="B239">
            <v>9.6456159433437616</v>
          </cell>
          <cell r="C239">
            <v>9.8083331915411467</v>
          </cell>
          <cell r="D239">
            <v>8.4157123039850656</v>
          </cell>
          <cell r="E239">
            <v>8.4137398754192052</v>
          </cell>
          <cell r="F239">
            <v>8.225147327607548</v>
          </cell>
        </row>
        <row r="240">
          <cell r="A240">
            <v>9.1</v>
          </cell>
          <cell r="B240">
            <v>9.6948057206266878</v>
          </cell>
          <cell r="C240">
            <v>9.9336049401453348</v>
          </cell>
          <cell r="D240">
            <v>9.7199689253014441</v>
          </cell>
          <cell r="E240">
            <v>10.056893478879005</v>
          </cell>
          <cell r="F240">
            <v>9.9277431899949846</v>
          </cell>
        </row>
        <row r="241">
          <cell r="A241">
            <v>11.4</v>
          </cell>
          <cell r="B241">
            <v>9.7411148740623794</v>
          </cell>
          <cell r="C241">
            <v>10.02719335472721</v>
          </cell>
          <cell r="D241">
            <v>11.049785810247133</v>
          </cell>
          <cell r="E241">
            <v>11.567956602849858</v>
          </cell>
          <cell r="F241">
            <v>11.590516739697348</v>
          </cell>
        </row>
        <row r="242">
          <cell r="A242">
            <v>13</v>
          </cell>
          <cell r="B242">
            <v>9.7831363234572599</v>
          </cell>
          <cell r="C242">
            <v>10.081988778431381</v>
          </cell>
          <cell r="D242">
            <v>12.066806881672395</v>
          </cell>
          <cell r="E242">
            <v>12.523766040614582</v>
          </cell>
          <cell r="F242">
            <v>12.6819190823754</v>
          </cell>
        </row>
        <row r="243">
          <cell r="A243">
            <v>14.1</v>
          </cell>
          <cell r="B243">
            <v>9.8195932683353409</v>
          </cell>
          <cell r="C243">
            <v>10.09517368095638</v>
          </cell>
          <cell r="D243">
            <v>12.510387024032385</v>
          </cell>
          <cell r="E243">
            <v>12.692318280309628</v>
          </cell>
          <cell r="F243">
            <v>12.87307577481832</v>
          </cell>
        </row>
        <row r="244">
          <cell r="A244">
            <v>12.2</v>
          </cell>
          <cell r="B244">
            <v>9.8493779828746089</v>
          </cell>
          <cell r="C244">
            <v>10.068447288246743</v>
          </cell>
          <cell r="D244">
            <v>12.26690140633165</v>
          </cell>
          <cell r="E244">
            <v>12.088677103191138</v>
          </cell>
          <cell r="F244">
            <v>12.162901417086662</v>
          </cell>
        </row>
        <row r="245">
          <cell r="A245">
            <v>9.8000000000000007</v>
          </cell>
          <cell r="B245">
            <v>9.8715854735955801</v>
          </cell>
          <cell r="C245">
            <v>10.007720680372316</v>
          </cell>
          <cell r="D245">
            <v>11.400341567928397</v>
          </cell>
          <cell r="E245">
            <v>10.94535483755207</v>
          </cell>
          <cell r="F245">
            <v>10.860018281662432</v>
          </cell>
        </row>
        <row r="246">
          <cell r="A246">
            <v>9.1</v>
          </cell>
          <cell r="B246">
            <v>9.8855409771302316</v>
          </cell>
          <cell r="C246">
            <v>9.9223221702326239</v>
          </cell>
          <cell r="D246">
            <v>10.135958185076515</v>
          </cell>
          <cell r="E246">
            <v>9.6171023752217106</v>
          </cell>
          <cell r="F246">
            <v>9.4331714997678215</v>
          </cell>
        </row>
        <row r="247">
          <cell r="A247">
            <v>8.1999999999999993</v>
          </cell>
          <cell r="B247">
            <v>9.8908204625654861</v>
          </cell>
          <cell r="C247">
            <v>9.8238112872727896</v>
          </cell>
          <cell r="D247">
            <v>8.8012188317528661</v>
          </cell>
          <cell r="E247">
            <v>8.4612723422906519</v>
          </cell>
          <cell r="F247">
            <v>8.3101519226191751</v>
          </cell>
        </row>
        <row r="248">
          <cell r="A248">
            <v>8.4</v>
          </cell>
          <cell r="B248">
            <v>9.8872635154079411</v>
          </cell>
          <cell r="C248">
            <v>9.724546267210556</v>
          </cell>
          <cell r="D248">
            <v>7.7397281639695406</v>
          </cell>
          <cell r="E248">
            <v>7.7377557354036792</v>
          </cell>
          <cell r="F248">
            <v>7.7274099441866566</v>
          </cell>
        </row>
        <row r="249">
          <cell r="A249">
            <v>8.1</v>
          </cell>
          <cell r="B249">
            <v>9.8749782116970817</v>
          </cell>
          <cell r="C249">
            <v>9.6361789921784347</v>
          </cell>
          <cell r="D249">
            <v>7.2209656491024301</v>
          </cell>
          <cell r="E249">
            <v>7.5578902026799888</v>
          </cell>
          <cell r="F249">
            <v>7.6957103295380538</v>
          </cell>
        </row>
        <row r="250">
          <cell r="A250">
            <v>8.5</v>
          </cell>
          <cell r="B250">
            <v>9.8543378341694936</v>
          </cell>
          <cell r="C250">
            <v>9.5682593535046632</v>
          </cell>
          <cell r="D250">
            <v>7.3698052354197543</v>
          </cell>
          <cell r="E250">
            <v>7.8879760280224787</v>
          </cell>
          <cell r="F250">
            <v>8.0754999590590835</v>
          </cell>
        </row>
        <row r="251">
          <cell r="A251">
            <v>7.6</v>
          </cell>
          <cell r="B251">
            <v>9.82596953025182</v>
          </cell>
          <cell r="C251">
            <v>9.5271170752776992</v>
          </cell>
          <cell r="D251">
            <v>8.1344961877216146</v>
          </cell>
          <cell r="E251">
            <v>8.5914553466638033</v>
          </cell>
          <cell r="F251">
            <v>8.6947113385858241</v>
          </cell>
        </row>
        <row r="252">
          <cell r="A252">
            <v>9.1999999999999993</v>
          </cell>
          <cell r="B252">
            <v>9.7907352565035453</v>
          </cell>
          <cell r="C252">
            <v>9.515154843882506</v>
          </cell>
          <cell r="D252">
            <v>9.3015188290386099</v>
          </cell>
          <cell r="E252">
            <v>9.483450085315857</v>
          </cell>
          <cell r="F252">
            <v>9.4286694987459896</v>
          </cell>
        </row>
        <row r="253">
          <cell r="A253">
            <v>10.199999999999999</v>
          </cell>
          <cell r="B253">
            <v>9.7497055885031045</v>
          </cell>
          <cell r="C253">
            <v>9.5306362831309706</v>
          </cell>
          <cell r="D253">
            <v>10.553228738650887</v>
          </cell>
          <cell r="E253">
            <v>10.375004435510379</v>
          </cell>
          <cell r="F253">
            <v>10.201323878991413</v>
          </cell>
        </row>
        <row r="254">
          <cell r="A254">
            <v>11.3</v>
          </cell>
          <cell r="B254">
            <v>9.7041271919506826</v>
          </cell>
          <cell r="C254">
            <v>9.567991985173947</v>
          </cell>
          <cell r="D254">
            <v>11.552810088414956</v>
          </cell>
          <cell r="E254">
            <v>11.097823358038632</v>
          </cell>
          <cell r="F254">
            <v>10.929324525060792</v>
          </cell>
        </row>
        <row r="255">
          <cell r="A255">
            <v>11.9</v>
          </cell>
          <cell r="B255">
            <v>9.6553849433617387</v>
          </cell>
          <cell r="C255">
            <v>9.6186037502593447</v>
          </cell>
          <cell r="D255">
            <v>12.033817093335349</v>
          </cell>
          <cell r="E255">
            <v>11.514961283480545</v>
          </cell>
          <cell r="F255">
            <v>11.472023915829917</v>
          </cell>
        </row>
        <row r="256">
          <cell r="A256">
            <v>12.1</v>
          </cell>
          <cell r="B256">
            <v>9.6049598512948844</v>
          </cell>
          <cell r="C256">
            <v>9.6719690265875808</v>
          </cell>
          <cell r="D256">
            <v>11.870423144672491</v>
          </cell>
          <cell r="E256">
            <v>11.530476655210276</v>
          </cell>
          <cell r="F256">
            <v>11.643776272351355</v>
          </cell>
        </row>
        <row r="257">
          <cell r="A257">
            <v>10.6</v>
          </cell>
          <cell r="B257">
            <v>9.5543840566562395</v>
          </cell>
          <cell r="C257">
            <v>9.7171013048536246</v>
          </cell>
          <cell r="D257">
            <v>11.109722192409716</v>
          </cell>
          <cell r="E257">
            <v>11.10774976384385</v>
          </cell>
          <cell r="F257">
            <v>11.29634231165551</v>
          </cell>
        </row>
        <row r="258">
          <cell r="A258">
            <v>9.6999999999999993</v>
          </cell>
          <cell r="B258">
            <v>9.5051942793733133</v>
          </cell>
          <cell r="C258">
            <v>9.7439934988919603</v>
          </cell>
          <cell r="D258">
            <v>9.957629513735867</v>
          </cell>
          <cell r="E258">
            <v>10.294554067313422</v>
          </cell>
          <cell r="F258">
            <v>10.423704356197442</v>
          </cell>
        </row>
        <row r="259">
          <cell r="A259">
            <v>9.3000000000000007</v>
          </cell>
          <cell r="B259">
            <v>9.4588851259376199</v>
          </cell>
          <cell r="C259">
            <v>9.7449636066024485</v>
          </cell>
          <cell r="D259">
            <v>8.722371151082541</v>
          </cell>
          <cell r="E259">
            <v>9.2405419436852636</v>
          </cell>
          <cell r="F259">
            <v>9.2179818068377752</v>
          </cell>
        </row>
        <row r="260">
          <cell r="A260">
            <v>8.4</v>
          </cell>
          <cell r="B260">
            <v>9.4168636765427394</v>
          </cell>
          <cell r="C260">
            <v>9.7157161315168601</v>
          </cell>
          <cell r="D260">
            <v>7.7308980282758553</v>
          </cell>
          <cell r="E260">
            <v>8.1878571872180448</v>
          </cell>
          <cell r="F260">
            <v>8.0297041454572291</v>
          </cell>
        </row>
        <row r="261">
          <cell r="A261">
            <v>8.1999999999999993</v>
          </cell>
          <cell r="B261">
            <v>9.3804067316646584</v>
          </cell>
          <cell r="C261">
            <v>9.6559871442856995</v>
          </cell>
          <cell r="D261">
            <v>7.2407738012096967</v>
          </cell>
          <cell r="E261">
            <v>7.4227050574869455</v>
          </cell>
          <cell r="F261">
            <v>7.2419475629782522</v>
          </cell>
        </row>
        <row r="262">
          <cell r="A262">
            <v>6.7</v>
          </cell>
          <cell r="B262">
            <v>9.3506220171253904</v>
          </cell>
          <cell r="C262">
            <v>9.5696913224975244</v>
          </cell>
          <cell r="D262">
            <v>7.3712372044126084</v>
          </cell>
          <cell r="E262">
            <v>7.1930129012721027</v>
          </cell>
          <cell r="F262">
            <v>7.118788587376577</v>
          </cell>
        </row>
        <row r="263">
          <cell r="A263">
            <v>7.5</v>
          </cell>
          <cell r="B263">
            <v>9.3284145264044191</v>
          </cell>
          <cell r="C263">
            <v>9.4645497331811566</v>
          </cell>
          <cell r="D263">
            <v>8.071928845625056</v>
          </cell>
          <cell r="E263">
            <v>7.6169421152487322</v>
          </cell>
          <cell r="F263">
            <v>7.7022786711383677</v>
          </cell>
        </row>
        <row r="264">
          <cell r="A264">
            <v>8.1</v>
          </cell>
          <cell r="B264">
            <v>9.3144590228697695</v>
          </cell>
          <cell r="C264">
            <v>9.3512402159721635</v>
          </cell>
          <cell r="D264">
            <v>9.1376042011282479</v>
          </cell>
          <cell r="E264">
            <v>8.6187483912734422</v>
          </cell>
          <cell r="F264">
            <v>8.8026792667273295</v>
          </cell>
        </row>
        <row r="265">
          <cell r="A265">
            <v>10</v>
          </cell>
          <cell r="B265">
            <v>9.3091795374345132</v>
          </cell>
          <cell r="C265">
            <v>9.2421703621418203</v>
          </cell>
          <cell r="D265">
            <v>10.264762817661721</v>
          </cell>
          <cell r="E265">
            <v>9.924816328199503</v>
          </cell>
          <cell r="F265">
            <v>10.075936747870982</v>
          </cell>
        </row>
        <row r="266">
          <cell r="A266">
            <v>11.9</v>
          </cell>
          <cell r="B266">
            <v>9.3127364845920582</v>
          </cell>
          <cell r="C266">
            <v>9.1500192363946748</v>
          </cell>
          <cell r="D266">
            <v>11.134837339635675</v>
          </cell>
          <cell r="E266">
            <v>11.132864911069808</v>
          </cell>
          <cell r="F266">
            <v>11.143210702286833</v>
          </cell>
        </row>
        <row r="267">
          <cell r="A267">
            <v>11.9</v>
          </cell>
          <cell r="B267">
            <v>9.3250217883029176</v>
          </cell>
          <cell r="C267">
            <v>9.0862225687842706</v>
          </cell>
          <cell r="D267">
            <v>11.501435911860273</v>
          </cell>
          <cell r="E267">
            <v>11.838360465437827</v>
          </cell>
          <cell r="F267">
            <v>11.700540338579763</v>
          </cell>
        </row>
        <row r="268">
          <cell r="A268">
            <v>11.7</v>
          </cell>
          <cell r="B268">
            <v>9.3456621658305057</v>
          </cell>
          <cell r="C268">
            <v>9.059583685165677</v>
          </cell>
          <cell r="D268">
            <v>11.258037803250595</v>
          </cell>
          <cell r="E268">
            <v>11.776208595853317</v>
          </cell>
          <cell r="F268">
            <v>11.588684664816713</v>
          </cell>
        </row>
        <row r="269">
          <cell r="A269">
            <v>10.6</v>
          </cell>
          <cell r="B269">
            <v>9.3740304697481793</v>
          </cell>
          <cell r="C269">
            <v>9.0751780147740568</v>
          </cell>
          <cell r="D269">
            <v>10.467798902330165</v>
          </cell>
          <cell r="E269">
            <v>10.924758061272357</v>
          </cell>
          <cell r="F269">
            <v>10.821502069350334</v>
          </cell>
        </row>
        <row r="270">
          <cell r="A270">
            <v>9</v>
          </cell>
          <cell r="B270">
            <v>9.409264743496454</v>
          </cell>
          <cell r="C270">
            <v>9.133684330875413</v>
          </cell>
          <cell r="D270">
            <v>9.3473203457193375</v>
          </cell>
          <cell r="E270">
            <v>9.5292516019965916</v>
          </cell>
          <cell r="F270">
            <v>9.5840321885664572</v>
          </cell>
        </row>
        <row r="271">
          <cell r="A271">
            <v>7.9</v>
          </cell>
          <cell r="B271">
            <v>9.450294411496893</v>
          </cell>
          <cell r="C271">
            <v>9.2312251061247572</v>
          </cell>
          <cell r="D271">
            <v>8.2086326506048657</v>
          </cell>
          <cell r="E271">
            <v>8.0304083474643626</v>
          </cell>
          <cell r="F271">
            <v>8.204088903983326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13" zoomScale="85" zoomScaleNormal="85" workbookViewId="0">
      <selection activeCell="L30" sqref="L30"/>
    </sheetView>
  </sheetViews>
  <sheetFormatPr defaultRowHeight="14.4" x14ac:dyDescent="0.3"/>
  <cols>
    <col min="4" max="4" width="38.88671875" customWidth="1"/>
    <col min="5" max="5" width="22.109375" customWidth="1"/>
    <col min="6" max="6" width="18.21875" customWidth="1"/>
    <col min="7" max="7" width="10.77734375" customWidth="1"/>
    <col min="10" max="10" width="12.33203125" customWidth="1"/>
    <col min="14" max="14" width="11.6640625" customWidth="1"/>
  </cols>
  <sheetData>
    <row r="1" spans="1:16" ht="172.8" x14ac:dyDescent="0.3">
      <c r="A1" s="4">
        <v>2016</v>
      </c>
      <c r="B1" s="4">
        <v>2017</v>
      </c>
      <c r="C1" s="4">
        <v>2018</v>
      </c>
      <c r="D1" s="8" t="s">
        <v>1</v>
      </c>
      <c r="E1" s="9" t="s">
        <v>4</v>
      </c>
      <c r="F1" s="6"/>
    </row>
    <row r="2" spans="1:16" ht="72" x14ac:dyDescent="0.3">
      <c r="A2" s="3">
        <v>8.4</v>
      </c>
      <c r="B2" s="3">
        <v>7.3</v>
      </c>
      <c r="C2" s="3">
        <v>7.5</v>
      </c>
      <c r="D2" s="9" t="s">
        <v>2</v>
      </c>
      <c r="E2" s="74" t="s">
        <v>5</v>
      </c>
      <c r="F2" s="7"/>
    </row>
    <row r="3" spans="1:16" ht="41.4" x14ac:dyDescent="0.3">
      <c r="A3" s="3">
        <v>8.1999999999999993</v>
      </c>
      <c r="B3" s="3">
        <v>7.1</v>
      </c>
      <c r="C3" s="3">
        <v>7.2</v>
      </c>
      <c r="D3" s="73" t="s">
        <v>3</v>
      </c>
      <c r="E3" s="10"/>
    </row>
    <row r="4" spans="1:16" x14ac:dyDescent="0.3">
      <c r="A4" s="3">
        <v>6.7</v>
      </c>
      <c r="B4" s="3">
        <v>7.6</v>
      </c>
      <c r="C4" s="3">
        <v>8.1</v>
      </c>
      <c r="I4" s="22" t="s">
        <v>33</v>
      </c>
      <c r="J4" s="16"/>
      <c r="K4" s="16"/>
      <c r="L4" s="16"/>
      <c r="M4" s="16"/>
      <c r="N4" s="16"/>
      <c r="O4" s="16"/>
      <c r="P4" t="s">
        <v>44</v>
      </c>
    </row>
    <row r="5" spans="1:16" x14ac:dyDescent="0.3">
      <c r="A5" s="3">
        <v>7.5</v>
      </c>
      <c r="B5" s="3">
        <v>7.6</v>
      </c>
      <c r="C5" s="3">
        <v>7.8</v>
      </c>
      <c r="I5" s="22" t="s">
        <v>31</v>
      </c>
      <c r="J5" s="16"/>
      <c r="K5" s="16">
        <v>0.02</v>
      </c>
      <c r="L5" s="16"/>
      <c r="M5" s="16"/>
      <c r="N5" s="16"/>
      <c r="O5" s="16"/>
    </row>
    <row r="6" spans="1:16" x14ac:dyDescent="0.3">
      <c r="A6" s="3">
        <v>8.1</v>
      </c>
      <c r="B6" s="3">
        <v>8.5</v>
      </c>
      <c r="C6" s="3">
        <v>8.8000000000000007</v>
      </c>
      <c r="I6" s="22" t="s">
        <v>32</v>
      </c>
      <c r="J6" s="16"/>
      <c r="K6" s="16">
        <f>SQRT(K5)</f>
        <v>0.1414213562373095</v>
      </c>
      <c r="L6" s="16"/>
      <c r="M6" s="16"/>
      <c r="N6" s="16"/>
      <c r="O6" s="16"/>
    </row>
    <row r="7" spans="1:16" x14ac:dyDescent="0.3">
      <c r="A7" s="3">
        <v>10</v>
      </c>
      <c r="B7" s="3">
        <v>9.8000000000000007</v>
      </c>
      <c r="C7" s="3">
        <v>9.1</v>
      </c>
      <c r="I7" s="22"/>
      <c r="J7" s="16"/>
      <c r="K7" s="16"/>
      <c r="L7" s="16"/>
      <c r="M7" s="16"/>
      <c r="N7" s="16"/>
      <c r="O7" s="16"/>
    </row>
    <row r="8" spans="1:16" x14ac:dyDescent="0.3">
      <c r="A8" s="3">
        <v>11.9</v>
      </c>
      <c r="B8" s="3">
        <v>10.9</v>
      </c>
      <c r="C8" s="3">
        <v>10.8</v>
      </c>
      <c r="I8" s="22" t="s">
        <v>34</v>
      </c>
      <c r="J8" s="16"/>
      <c r="K8" s="16"/>
      <c r="L8" s="16"/>
      <c r="M8" s="16">
        <f>(1-K6*K6)/SQRT(34)</f>
        <v>0.16806861343965865</v>
      </c>
      <c r="N8" s="16"/>
      <c r="O8" s="16"/>
    </row>
    <row r="9" spans="1:16" x14ac:dyDescent="0.3">
      <c r="A9" s="3">
        <v>11.9</v>
      </c>
      <c r="B9" s="3">
        <v>11.7</v>
      </c>
      <c r="C9" s="3">
        <v>12</v>
      </c>
      <c r="I9" s="16"/>
      <c r="J9" s="16"/>
      <c r="K9" s="16"/>
      <c r="L9" s="16"/>
      <c r="M9" s="16"/>
      <c r="N9" s="16"/>
      <c r="O9" s="16"/>
    </row>
    <row r="10" spans="1:16" x14ac:dyDescent="0.3">
      <c r="A10" s="3">
        <v>11.7</v>
      </c>
      <c r="B10" s="3">
        <v>11.7</v>
      </c>
      <c r="C10" s="3">
        <v>11.8</v>
      </c>
      <c r="I10" s="16"/>
      <c r="J10" s="16"/>
      <c r="K10" s="16"/>
      <c r="L10" s="16"/>
      <c r="M10" s="16"/>
      <c r="N10" s="16"/>
      <c r="O10" s="16"/>
    </row>
    <row r="11" spans="1:16" x14ac:dyDescent="0.3">
      <c r="A11" s="3">
        <v>10.6</v>
      </c>
      <c r="B11" s="3">
        <v>10.4</v>
      </c>
      <c r="C11" s="3">
        <v>10</v>
      </c>
      <c r="I11" s="22" t="s">
        <v>35</v>
      </c>
      <c r="J11" s="16"/>
      <c r="K11" s="16"/>
      <c r="L11" s="16"/>
      <c r="M11" s="16"/>
      <c r="N11" s="16"/>
      <c r="O11" s="16"/>
    </row>
    <row r="12" spans="1:16" x14ac:dyDescent="0.3">
      <c r="A12" s="3">
        <v>9</v>
      </c>
      <c r="B12" s="3">
        <v>9.6999999999999993</v>
      </c>
      <c r="C12" s="3">
        <v>9.1</v>
      </c>
      <c r="I12" s="16" t="s">
        <v>36</v>
      </c>
      <c r="J12" s="16"/>
      <c r="K12" s="16"/>
      <c r="L12" s="16"/>
      <c r="M12" s="16"/>
      <c r="N12" s="16"/>
      <c r="O12" s="16"/>
    </row>
    <row r="13" spans="1:16" x14ac:dyDescent="0.3">
      <c r="A13" s="3">
        <v>7.9</v>
      </c>
      <c r="B13" s="3">
        <v>8.3000000000000007</v>
      </c>
      <c r="C13" s="3">
        <v>8.1999999999999993</v>
      </c>
      <c r="I13" s="22" t="s">
        <v>37</v>
      </c>
      <c r="J13" s="16"/>
      <c r="K13" s="16"/>
      <c r="L13" s="16"/>
      <c r="M13" s="16"/>
      <c r="N13" s="16"/>
      <c r="O13" s="16">
        <f>K6/M8</f>
        <v>0.84145012767707361</v>
      </c>
    </row>
    <row r="14" spans="1:16" x14ac:dyDescent="0.3">
      <c r="A14" s="5" t="s">
        <v>0</v>
      </c>
      <c r="I14" s="22" t="s">
        <v>38</v>
      </c>
      <c r="J14" s="16"/>
      <c r="K14" s="16"/>
      <c r="L14" s="16"/>
      <c r="M14" s="16"/>
      <c r="N14" s="16"/>
      <c r="O14" s="16">
        <v>2.032</v>
      </c>
    </row>
    <row r="15" spans="1:16" ht="15.6" x14ac:dyDescent="0.3">
      <c r="A15" s="1">
        <f>AVERAGE(A2:A13)</f>
        <v>9.3250000000000011</v>
      </c>
      <c r="B15" s="1">
        <f t="shared" ref="B15:C15" si="0">AVERAGE(B2:B13)</f>
        <v>9.2166666666666668</v>
      </c>
      <c r="C15" s="1">
        <f t="shared" si="0"/>
        <v>9.1999999999999993</v>
      </c>
      <c r="I15" s="16"/>
      <c r="J15" s="33" t="s">
        <v>40</v>
      </c>
      <c r="K15" s="16"/>
      <c r="L15" s="16"/>
      <c r="M15" s="16"/>
      <c r="N15" s="16"/>
      <c r="O15" s="16"/>
    </row>
    <row r="16" spans="1:16" ht="15.6" x14ac:dyDescent="0.3">
      <c r="I16" s="16"/>
      <c r="J16" s="33" t="s">
        <v>41</v>
      </c>
      <c r="K16" s="16"/>
      <c r="L16" s="16"/>
      <c r="M16" s="16"/>
      <c r="N16" s="16"/>
      <c r="O16" s="16"/>
    </row>
    <row r="17" spans="1:11" ht="15.6" x14ac:dyDescent="0.3">
      <c r="A17" s="17" t="s">
        <v>42</v>
      </c>
      <c r="G17" s="11" t="s">
        <v>15</v>
      </c>
      <c r="J17" s="18" t="s">
        <v>39</v>
      </c>
    </row>
    <row r="18" spans="1:11" x14ac:dyDescent="0.3">
      <c r="A18" s="19" t="s">
        <v>6</v>
      </c>
      <c r="B18" s="20" t="s">
        <v>9</v>
      </c>
      <c r="C18" s="20" t="s">
        <v>7</v>
      </c>
      <c r="D18" s="20" t="s">
        <v>8</v>
      </c>
      <c r="E18" s="20" t="s">
        <v>10</v>
      </c>
      <c r="G18" s="3">
        <v>8.4</v>
      </c>
      <c r="H18" s="3">
        <v>10.9</v>
      </c>
    </row>
    <row r="19" spans="1:11" x14ac:dyDescent="0.3">
      <c r="A19" s="21">
        <v>8.4</v>
      </c>
      <c r="B19" s="20">
        <v>0</v>
      </c>
      <c r="C19" s="20">
        <v>0</v>
      </c>
      <c r="D19" s="20">
        <v>0</v>
      </c>
      <c r="E19" s="20">
        <f>B19+C19</f>
        <v>0</v>
      </c>
      <c r="G19" s="3">
        <v>8.1999999999999993</v>
      </c>
      <c r="H19" s="3">
        <v>11.7</v>
      </c>
    </row>
    <row r="20" spans="1:11" x14ac:dyDescent="0.3">
      <c r="A20" s="21">
        <v>8.1999999999999993</v>
      </c>
      <c r="B20" s="20">
        <v>0</v>
      </c>
      <c r="C20" s="20">
        <v>1</v>
      </c>
      <c r="D20" s="20">
        <f>B20-C20</f>
        <v>-1</v>
      </c>
      <c r="E20" s="20">
        <f t="shared" ref="E20:E54" si="1">B20+C20</f>
        <v>1</v>
      </c>
      <c r="G20" s="3">
        <v>6.7</v>
      </c>
      <c r="H20" s="3">
        <v>11.7</v>
      </c>
    </row>
    <row r="21" spans="1:11" x14ac:dyDescent="0.3">
      <c r="A21" s="21">
        <v>6.7</v>
      </c>
      <c r="B21" s="20">
        <v>0</v>
      </c>
      <c r="C21" s="20">
        <v>1</v>
      </c>
      <c r="D21" s="20">
        <f t="shared" ref="D21:D54" si="2">B21-C21</f>
        <v>-1</v>
      </c>
      <c r="E21" s="20">
        <f t="shared" si="1"/>
        <v>1</v>
      </c>
      <c r="G21" s="3">
        <v>7.5</v>
      </c>
      <c r="H21" s="3">
        <v>10.4</v>
      </c>
    </row>
    <row r="22" spans="1:11" x14ac:dyDescent="0.3">
      <c r="A22" s="21">
        <v>7.5</v>
      </c>
      <c r="B22" s="20">
        <v>0</v>
      </c>
      <c r="C22" s="20">
        <v>0</v>
      </c>
      <c r="D22" s="20">
        <f t="shared" si="2"/>
        <v>0</v>
      </c>
      <c r="E22" s="20">
        <f t="shared" si="1"/>
        <v>0</v>
      </c>
      <c r="G22" s="3">
        <v>8.1</v>
      </c>
      <c r="H22" s="3">
        <v>9.6999999999999993</v>
      </c>
    </row>
    <row r="23" spans="1:11" x14ac:dyDescent="0.3">
      <c r="A23" s="21">
        <v>8.1</v>
      </c>
      <c r="B23" s="20">
        <v>0</v>
      </c>
      <c r="C23" s="20">
        <v>0</v>
      </c>
      <c r="D23" s="20">
        <f t="shared" si="2"/>
        <v>0</v>
      </c>
      <c r="E23" s="20">
        <f t="shared" si="1"/>
        <v>0</v>
      </c>
      <c r="G23" s="3">
        <v>10</v>
      </c>
      <c r="H23" s="3">
        <v>8.3000000000000007</v>
      </c>
      <c r="K23" s="17"/>
    </row>
    <row r="24" spans="1:11" x14ac:dyDescent="0.3">
      <c r="A24" s="21">
        <v>10</v>
      </c>
      <c r="B24" s="20">
        <v>1</v>
      </c>
      <c r="C24" s="20">
        <v>0</v>
      </c>
      <c r="D24" s="20">
        <f t="shared" si="2"/>
        <v>1</v>
      </c>
      <c r="E24" s="20">
        <f t="shared" si="1"/>
        <v>1</v>
      </c>
      <c r="G24" s="3">
        <v>11.9</v>
      </c>
      <c r="H24" s="3">
        <v>7.5</v>
      </c>
    </row>
    <row r="25" spans="1:11" x14ac:dyDescent="0.3">
      <c r="A25" s="21">
        <v>11.9</v>
      </c>
      <c r="B25" s="20">
        <v>1</v>
      </c>
      <c r="C25" s="20">
        <v>0</v>
      </c>
      <c r="D25" s="20">
        <f t="shared" si="2"/>
        <v>1</v>
      </c>
      <c r="E25" s="20">
        <f t="shared" si="1"/>
        <v>1</v>
      </c>
      <c r="G25" s="3">
        <v>11.9</v>
      </c>
      <c r="H25" s="3">
        <v>7.2</v>
      </c>
    </row>
    <row r="26" spans="1:11" x14ac:dyDescent="0.3">
      <c r="A26" s="21">
        <v>11.9</v>
      </c>
      <c r="B26" s="20">
        <v>0</v>
      </c>
      <c r="C26" s="20">
        <v>0</v>
      </c>
      <c r="D26" s="20">
        <f t="shared" si="2"/>
        <v>0</v>
      </c>
      <c r="E26" s="20">
        <f t="shared" si="1"/>
        <v>0</v>
      </c>
      <c r="G26" s="3">
        <v>11.7</v>
      </c>
      <c r="H26" s="3">
        <v>8.1</v>
      </c>
    </row>
    <row r="27" spans="1:11" x14ac:dyDescent="0.3">
      <c r="A27" s="21">
        <v>11.7</v>
      </c>
      <c r="B27" s="20">
        <v>0</v>
      </c>
      <c r="C27" s="20">
        <v>0</v>
      </c>
      <c r="D27" s="20">
        <f t="shared" si="2"/>
        <v>0</v>
      </c>
      <c r="E27" s="20">
        <f t="shared" si="1"/>
        <v>0</v>
      </c>
      <c r="G27" s="3">
        <v>10.6</v>
      </c>
      <c r="H27" s="3">
        <v>7.8</v>
      </c>
    </row>
    <row r="28" spans="1:11" x14ac:dyDescent="0.3">
      <c r="A28" s="21">
        <v>10.6</v>
      </c>
      <c r="B28" s="20">
        <v>0</v>
      </c>
      <c r="C28" s="20">
        <v>0</v>
      </c>
      <c r="D28" s="20">
        <f t="shared" si="2"/>
        <v>0</v>
      </c>
      <c r="E28" s="20">
        <f t="shared" si="1"/>
        <v>0</v>
      </c>
      <c r="G28" s="3">
        <v>9</v>
      </c>
      <c r="H28" s="3">
        <v>8.8000000000000007</v>
      </c>
    </row>
    <row r="29" spans="1:11" x14ac:dyDescent="0.3">
      <c r="A29" s="21">
        <v>9</v>
      </c>
      <c r="B29" s="20">
        <v>0</v>
      </c>
      <c r="C29" s="20">
        <v>0</v>
      </c>
      <c r="D29" s="20">
        <f t="shared" si="2"/>
        <v>0</v>
      </c>
      <c r="E29" s="20">
        <f t="shared" si="1"/>
        <v>0</v>
      </c>
      <c r="G29" s="3">
        <v>7.9</v>
      </c>
      <c r="H29" s="3">
        <v>9.1</v>
      </c>
    </row>
    <row r="30" spans="1:11" x14ac:dyDescent="0.3">
      <c r="A30" s="21">
        <v>7.9</v>
      </c>
      <c r="B30" s="20">
        <v>0</v>
      </c>
      <c r="C30" s="20">
        <v>0</v>
      </c>
      <c r="D30" s="20">
        <f t="shared" si="2"/>
        <v>0</v>
      </c>
      <c r="E30" s="20">
        <f t="shared" si="1"/>
        <v>0</v>
      </c>
      <c r="G30" s="3">
        <v>7.3</v>
      </c>
      <c r="H30" s="3">
        <v>10.8</v>
      </c>
    </row>
    <row r="31" spans="1:11" x14ac:dyDescent="0.3">
      <c r="A31" s="21">
        <v>7.3</v>
      </c>
      <c r="B31" s="20">
        <v>0</v>
      </c>
      <c r="C31" s="20">
        <v>0</v>
      </c>
      <c r="D31" s="20">
        <f t="shared" si="2"/>
        <v>0</v>
      </c>
      <c r="E31" s="20">
        <f t="shared" si="1"/>
        <v>0</v>
      </c>
      <c r="G31" s="3">
        <v>7.1</v>
      </c>
      <c r="H31" s="3">
        <v>12</v>
      </c>
    </row>
    <row r="32" spans="1:11" x14ac:dyDescent="0.3">
      <c r="A32" s="21">
        <v>7.1</v>
      </c>
      <c r="B32" s="20">
        <v>0</v>
      </c>
      <c r="C32" s="20">
        <v>0</v>
      </c>
      <c r="D32" s="20">
        <f t="shared" si="2"/>
        <v>0</v>
      </c>
      <c r="E32" s="20">
        <f t="shared" si="1"/>
        <v>0</v>
      </c>
      <c r="G32" s="3">
        <v>7.6</v>
      </c>
      <c r="H32" s="3">
        <v>11.8</v>
      </c>
    </row>
    <row r="33" spans="1:8" x14ac:dyDescent="0.3">
      <c r="A33" s="21">
        <v>7.6</v>
      </c>
      <c r="B33" s="20">
        <v>0</v>
      </c>
      <c r="C33" s="20">
        <v>0</v>
      </c>
      <c r="D33" s="20">
        <f t="shared" si="2"/>
        <v>0</v>
      </c>
      <c r="E33" s="20">
        <f t="shared" si="1"/>
        <v>0</v>
      </c>
      <c r="G33" s="3">
        <v>7.6</v>
      </c>
      <c r="H33" s="3">
        <v>10</v>
      </c>
    </row>
    <row r="34" spans="1:8" x14ac:dyDescent="0.3">
      <c r="A34" s="21">
        <v>7.6</v>
      </c>
      <c r="B34" s="20">
        <v>0</v>
      </c>
      <c r="C34" s="20">
        <v>0</v>
      </c>
      <c r="D34" s="20">
        <f t="shared" si="2"/>
        <v>0</v>
      </c>
      <c r="E34" s="20">
        <f t="shared" si="1"/>
        <v>0</v>
      </c>
      <c r="G34" s="3">
        <v>8.5</v>
      </c>
      <c r="H34" s="3">
        <v>9.1</v>
      </c>
    </row>
    <row r="35" spans="1:8" x14ac:dyDescent="0.3">
      <c r="A35" s="21">
        <v>8.5</v>
      </c>
      <c r="B35" s="20">
        <v>0</v>
      </c>
      <c r="C35" s="20">
        <v>0</v>
      </c>
      <c r="D35" s="20">
        <f t="shared" si="2"/>
        <v>0</v>
      </c>
      <c r="E35" s="20">
        <f t="shared" si="1"/>
        <v>0</v>
      </c>
      <c r="G35" s="14">
        <v>9.8000000000000007</v>
      </c>
      <c r="H35" s="14">
        <v>8.1999999999999993</v>
      </c>
    </row>
    <row r="36" spans="1:8" x14ac:dyDescent="0.3">
      <c r="A36" s="21">
        <v>9.8000000000000007</v>
      </c>
      <c r="B36" s="20">
        <v>0</v>
      </c>
      <c r="C36" s="20">
        <v>0</v>
      </c>
      <c r="D36" s="20">
        <f t="shared" si="2"/>
        <v>0</v>
      </c>
      <c r="E36" s="20">
        <f t="shared" si="1"/>
        <v>0</v>
      </c>
      <c r="F36" s="23" t="s">
        <v>16</v>
      </c>
      <c r="G36" s="3">
        <f>AVERAGE(G18:G35)</f>
        <v>8.8777777777777782</v>
      </c>
      <c r="H36" s="3">
        <f>AVERAGE(H18:H35)</f>
        <v>9.6166666666666654</v>
      </c>
    </row>
    <row r="37" spans="1:8" x14ac:dyDescent="0.3">
      <c r="A37" s="21">
        <v>10.9</v>
      </c>
      <c r="B37" s="20">
        <v>0</v>
      </c>
      <c r="C37" s="20">
        <v>0</v>
      </c>
      <c r="D37" s="20">
        <f t="shared" si="2"/>
        <v>0</v>
      </c>
      <c r="E37" s="20">
        <f t="shared" si="1"/>
        <v>0</v>
      </c>
      <c r="F37" s="23" t="s">
        <v>17</v>
      </c>
      <c r="G37" s="3">
        <f>_xlfn.STDEV.S(G18:G35)</f>
        <v>1.7024396181934798</v>
      </c>
      <c r="H37" s="3">
        <f>_xlfn.STDEV.S(H18:H35)</f>
        <v>1.6052304214293962</v>
      </c>
    </row>
    <row r="38" spans="1:8" x14ac:dyDescent="0.3">
      <c r="A38" s="21">
        <v>11.7</v>
      </c>
      <c r="B38" s="20">
        <v>0</v>
      </c>
      <c r="C38" s="20">
        <v>0</v>
      </c>
      <c r="D38" s="20">
        <f t="shared" si="2"/>
        <v>0</v>
      </c>
      <c r="E38" s="20">
        <f t="shared" si="1"/>
        <v>0</v>
      </c>
      <c r="F38" s="23" t="s">
        <v>18</v>
      </c>
      <c r="G38" s="3">
        <f>G37*G37</f>
        <v>2.8983006535947613</v>
      </c>
      <c r="H38" s="3">
        <f>H37*H37</f>
        <v>2.5767647058823968</v>
      </c>
    </row>
    <row r="39" spans="1:8" x14ac:dyDescent="0.3">
      <c r="A39" s="21">
        <v>11.7</v>
      </c>
      <c r="B39" s="20">
        <v>0</v>
      </c>
      <c r="C39" s="20">
        <v>0</v>
      </c>
      <c r="D39" s="20">
        <f t="shared" si="2"/>
        <v>0</v>
      </c>
      <c r="E39" s="20">
        <f t="shared" si="1"/>
        <v>0</v>
      </c>
      <c r="G39" s="15"/>
    </row>
    <row r="40" spans="1:8" x14ac:dyDescent="0.3">
      <c r="A40" s="21">
        <v>10.4</v>
      </c>
      <c r="B40" s="20">
        <v>0</v>
      </c>
      <c r="C40" s="20">
        <v>0</v>
      </c>
      <c r="D40" s="20">
        <f t="shared" si="2"/>
        <v>0</v>
      </c>
      <c r="E40" s="20">
        <f t="shared" si="1"/>
        <v>0</v>
      </c>
      <c r="F40" t="s">
        <v>19</v>
      </c>
      <c r="G40" s="15"/>
    </row>
    <row r="41" spans="1:8" x14ac:dyDescent="0.3">
      <c r="A41" s="21">
        <v>9.6999999999999993</v>
      </c>
      <c r="B41" s="20">
        <v>0</v>
      </c>
      <c r="C41" s="20">
        <v>0</v>
      </c>
      <c r="D41" s="20">
        <f t="shared" si="2"/>
        <v>0</v>
      </c>
      <c r="E41" s="20">
        <f t="shared" si="1"/>
        <v>0</v>
      </c>
      <c r="F41" s="23" t="s">
        <v>20</v>
      </c>
      <c r="G41" s="3">
        <f>G38/H38</f>
        <v>1.1247828127179569</v>
      </c>
    </row>
    <row r="42" spans="1:8" x14ac:dyDescent="0.3">
      <c r="A42" s="21">
        <v>8.3000000000000007</v>
      </c>
      <c r="B42" s="20">
        <v>0</v>
      </c>
      <c r="C42" s="20">
        <v>0</v>
      </c>
      <c r="D42" s="20">
        <f t="shared" si="2"/>
        <v>0</v>
      </c>
      <c r="E42" s="20">
        <f t="shared" si="1"/>
        <v>0</v>
      </c>
      <c r="F42" s="23" t="s">
        <v>21</v>
      </c>
      <c r="G42" s="2">
        <v>4.1100000000000003</v>
      </c>
      <c r="H42" t="s">
        <v>22</v>
      </c>
    </row>
    <row r="43" spans="1:8" x14ac:dyDescent="0.3">
      <c r="A43" s="21">
        <v>7.5</v>
      </c>
      <c r="B43" s="20">
        <v>0</v>
      </c>
      <c r="C43" s="20">
        <v>0</v>
      </c>
      <c r="D43" s="20">
        <f t="shared" si="2"/>
        <v>0</v>
      </c>
      <c r="E43" s="20">
        <f t="shared" si="1"/>
        <v>0</v>
      </c>
      <c r="F43" t="s">
        <v>23</v>
      </c>
      <c r="G43" s="15"/>
    </row>
    <row r="44" spans="1:8" x14ac:dyDescent="0.3">
      <c r="A44" s="21">
        <v>7.2</v>
      </c>
      <c r="B44" s="20">
        <v>0</v>
      </c>
      <c r="C44" s="20">
        <v>0</v>
      </c>
      <c r="D44" s="20">
        <f t="shared" si="2"/>
        <v>0</v>
      </c>
      <c r="E44" s="20">
        <f t="shared" si="1"/>
        <v>0</v>
      </c>
      <c r="G44" s="15"/>
    </row>
    <row r="45" spans="1:8" x14ac:dyDescent="0.3">
      <c r="A45" s="21">
        <v>8.1</v>
      </c>
      <c r="B45" s="20">
        <v>0</v>
      </c>
      <c r="C45" s="20">
        <v>0</v>
      </c>
      <c r="D45" s="20">
        <f t="shared" si="2"/>
        <v>0</v>
      </c>
      <c r="E45" s="20">
        <f t="shared" si="1"/>
        <v>0</v>
      </c>
      <c r="F45" t="s">
        <v>24</v>
      </c>
      <c r="G45" s="15"/>
    </row>
    <row r="46" spans="1:8" x14ac:dyDescent="0.3">
      <c r="A46" s="21">
        <v>7.8</v>
      </c>
      <c r="B46" s="20">
        <v>0</v>
      </c>
      <c r="C46" s="20">
        <v>0</v>
      </c>
      <c r="D46" s="20">
        <f t="shared" si="2"/>
        <v>0</v>
      </c>
      <c r="E46" s="20">
        <f t="shared" si="1"/>
        <v>0</v>
      </c>
      <c r="F46" s="23" t="s">
        <v>25</v>
      </c>
      <c r="G46" s="3">
        <f>SQRT(18*18*(35)/36)*ABS(G36-H36)/SQRT(18*G38 + 18 * H38)</f>
        <v>1.3210020944978982</v>
      </c>
      <c r="H46" t="s">
        <v>27</v>
      </c>
    </row>
    <row r="47" spans="1:8" x14ac:dyDescent="0.3">
      <c r="A47" s="21">
        <v>8.8000000000000007</v>
      </c>
      <c r="B47" s="20">
        <v>0</v>
      </c>
      <c r="C47" s="20">
        <v>0</v>
      </c>
      <c r="D47" s="20">
        <f t="shared" si="2"/>
        <v>0</v>
      </c>
      <c r="E47" s="20">
        <f t="shared" si="1"/>
        <v>0</v>
      </c>
      <c r="F47" s="23" t="s">
        <v>26</v>
      </c>
      <c r="G47" s="2">
        <v>2.0322</v>
      </c>
    </row>
    <row r="48" spans="1:8" x14ac:dyDescent="0.3">
      <c r="A48" s="21">
        <v>9.1</v>
      </c>
      <c r="B48" s="20">
        <v>0</v>
      </c>
      <c r="C48" s="20">
        <v>0</v>
      </c>
      <c r="D48" s="20">
        <f t="shared" si="2"/>
        <v>0</v>
      </c>
      <c r="E48" s="20">
        <f t="shared" si="1"/>
        <v>0</v>
      </c>
      <c r="G48" s="24" t="s">
        <v>28</v>
      </c>
    </row>
    <row r="49" spans="1:7" x14ac:dyDescent="0.3">
      <c r="A49" s="21">
        <v>10.8</v>
      </c>
      <c r="B49" s="20">
        <v>0</v>
      </c>
      <c r="C49" s="20">
        <v>0</v>
      </c>
      <c r="D49" s="20">
        <f t="shared" si="2"/>
        <v>0</v>
      </c>
      <c r="E49" s="20">
        <f t="shared" si="1"/>
        <v>0</v>
      </c>
      <c r="G49" s="15"/>
    </row>
    <row r="50" spans="1:7" x14ac:dyDescent="0.3">
      <c r="A50" s="21">
        <v>12</v>
      </c>
      <c r="B50" s="20">
        <v>1</v>
      </c>
      <c r="C50" s="20">
        <v>0</v>
      </c>
      <c r="D50" s="20">
        <f t="shared" si="2"/>
        <v>1</v>
      </c>
      <c r="E50" s="20">
        <f t="shared" si="1"/>
        <v>1</v>
      </c>
      <c r="G50" s="15"/>
    </row>
    <row r="51" spans="1:7" x14ac:dyDescent="0.3">
      <c r="A51" s="21">
        <v>11.8</v>
      </c>
      <c r="B51" s="20">
        <v>0</v>
      </c>
      <c r="C51" s="20">
        <v>0</v>
      </c>
      <c r="D51" s="20">
        <f t="shared" si="2"/>
        <v>0</v>
      </c>
      <c r="E51" s="20">
        <f t="shared" si="1"/>
        <v>0</v>
      </c>
      <c r="G51" s="15"/>
    </row>
    <row r="52" spans="1:7" x14ac:dyDescent="0.3">
      <c r="A52" s="21">
        <v>10</v>
      </c>
      <c r="B52" s="20">
        <v>0</v>
      </c>
      <c r="C52" s="20">
        <v>0</v>
      </c>
      <c r="D52" s="20">
        <f t="shared" si="2"/>
        <v>0</v>
      </c>
      <c r="E52" s="20">
        <f t="shared" si="1"/>
        <v>0</v>
      </c>
      <c r="G52" s="15"/>
    </row>
    <row r="53" spans="1:7" x14ac:dyDescent="0.3">
      <c r="A53" s="21">
        <v>9.1</v>
      </c>
      <c r="B53" s="20">
        <v>0</v>
      </c>
      <c r="C53" s="20">
        <v>0</v>
      </c>
      <c r="D53" s="20">
        <f t="shared" si="2"/>
        <v>0</v>
      </c>
      <c r="E53" s="20">
        <f t="shared" si="1"/>
        <v>0</v>
      </c>
      <c r="G53" s="15"/>
    </row>
    <row r="54" spans="1:7" x14ac:dyDescent="0.3">
      <c r="A54" s="21">
        <v>8.1999999999999993</v>
      </c>
      <c r="B54" s="20">
        <v>0</v>
      </c>
      <c r="C54" s="20">
        <v>0</v>
      </c>
      <c r="D54" s="20">
        <f t="shared" si="2"/>
        <v>0</v>
      </c>
      <c r="E54" s="20">
        <f t="shared" si="1"/>
        <v>0</v>
      </c>
    </row>
    <row r="56" spans="1:7" x14ac:dyDescent="0.3">
      <c r="C56" s="23" t="s">
        <v>11</v>
      </c>
      <c r="D56" s="2">
        <f>SUM(D19:D54)</f>
        <v>1</v>
      </c>
      <c r="E56" s="2">
        <f>SUM(E19:E54)</f>
        <v>5</v>
      </c>
    </row>
    <row r="57" spans="1:7" x14ac:dyDescent="0.3">
      <c r="C57" s="23" t="s">
        <v>13</v>
      </c>
      <c r="D57" s="2">
        <f>SQRT(2*LN(36)-0.8456)</f>
        <v>2.5142469800940836</v>
      </c>
      <c r="E57" s="2"/>
    </row>
    <row r="58" spans="1:7" x14ac:dyDescent="0.3">
      <c r="C58" s="23" t="s">
        <v>12</v>
      </c>
      <c r="D58" s="2">
        <v>2.032</v>
      </c>
      <c r="E58" s="2"/>
    </row>
    <row r="59" spans="1:7" x14ac:dyDescent="0.3">
      <c r="A59" s="13"/>
      <c r="B59" s="13"/>
      <c r="C59" s="23" t="s">
        <v>14</v>
      </c>
      <c r="D59" s="2">
        <f>D56/D57</f>
        <v>0.39773340006659957</v>
      </c>
      <c r="E59" s="2"/>
    </row>
    <row r="60" spans="1:7" x14ac:dyDescent="0.3">
      <c r="A60" s="12"/>
      <c r="B60" s="12"/>
      <c r="C60" s="5" t="s">
        <v>29</v>
      </c>
    </row>
    <row r="61" spans="1:7" x14ac:dyDescent="0.3">
      <c r="C61" s="22" t="s">
        <v>30</v>
      </c>
    </row>
    <row r="64" spans="1:7" x14ac:dyDescent="0.3">
      <c r="A64" s="12"/>
      <c r="B64" s="12"/>
      <c r="C64" s="12"/>
    </row>
    <row r="65" spans="1:7" x14ac:dyDescent="0.3">
      <c r="A65" s="13"/>
      <c r="B65" s="13"/>
      <c r="C65" s="13"/>
    </row>
    <row r="66" spans="1:7" x14ac:dyDescent="0.3">
      <c r="G66" s="5" t="s"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4"/>
  <sheetViews>
    <sheetView tabSelected="1" topLeftCell="S43" zoomScale="85" zoomScaleNormal="85" workbookViewId="0">
      <selection activeCell="AJ75" sqref="AJ75"/>
    </sheetView>
  </sheetViews>
  <sheetFormatPr defaultRowHeight="14.4" x14ac:dyDescent="0.3"/>
  <cols>
    <col min="6" max="6" width="20.6640625" customWidth="1"/>
    <col min="7" max="7" width="16.6640625" customWidth="1"/>
    <col min="38" max="38" width="12.88671875" customWidth="1"/>
    <col min="40" max="40" width="8" customWidth="1"/>
    <col min="41" max="41" width="12.6640625" customWidth="1"/>
    <col min="42" max="42" width="12.5546875" bestFit="1" customWidth="1"/>
  </cols>
  <sheetData>
    <row r="1" spans="1:48" x14ac:dyDescent="0.3">
      <c r="A1" s="34">
        <v>2016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>
        <v>2017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>
        <v>2018</v>
      </c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</row>
    <row r="2" spans="1:48" x14ac:dyDescent="0.3">
      <c r="A2" s="25">
        <v>1</v>
      </c>
      <c r="B2" s="2">
        <f>A2+1</f>
        <v>2</v>
      </c>
      <c r="C2" s="2">
        <f t="shared" ref="C2:L2" si="0">B2+1</f>
        <v>3</v>
      </c>
      <c r="D2" s="2">
        <f>C2+1</f>
        <v>4</v>
      </c>
      <c r="E2" s="2">
        <f t="shared" si="0"/>
        <v>5</v>
      </c>
      <c r="F2" s="2">
        <f t="shared" si="0"/>
        <v>6</v>
      </c>
      <c r="G2" s="2">
        <f t="shared" si="0"/>
        <v>7</v>
      </c>
      <c r="H2" s="2">
        <f t="shared" si="0"/>
        <v>8</v>
      </c>
      <c r="I2" s="2">
        <f t="shared" si="0"/>
        <v>9</v>
      </c>
      <c r="J2" s="2">
        <f t="shared" si="0"/>
        <v>10</v>
      </c>
      <c r="K2" s="2">
        <f t="shared" si="0"/>
        <v>11</v>
      </c>
      <c r="L2" s="2">
        <f t="shared" si="0"/>
        <v>12</v>
      </c>
      <c r="M2" s="2">
        <v>1</v>
      </c>
      <c r="N2" s="2">
        <f>M2+1</f>
        <v>2</v>
      </c>
      <c r="O2" s="2">
        <f t="shared" ref="O2:X2" si="1">N2+1</f>
        <v>3</v>
      </c>
      <c r="P2" s="2">
        <f t="shared" si="1"/>
        <v>4</v>
      </c>
      <c r="Q2" s="2">
        <f t="shared" si="1"/>
        <v>5</v>
      </c>
      <c r="R2" s="2">
        <f t="shared" si="1"/>
        <v>6</v>
      </c>
      <c r="S2" s="2">
        <f t="shared" si="1"/>
        <v>7</v>
      </c>
      <c r="T2" s="2">
        <f t="shared" si="1"/>
        <v>8</v>
      </c>
      <c r="U2" s="2">
        <f t="shared" si="1"/>
        <v>9</v>
      </c>
      <c r="V2" s="2">
        <f t="shared" si="1"/>
        <v>10</v>
      </c>
      <c r="W2" s="2">
        <f t="shared" si="1"/>
        <v>11</v>
      </c>
      <c r="X2" s="2">
        <f t="shared" si="1"/>
        <v>12</v>
      </c>
      <c r="Y2" s="2">
        <v>1</v>
      </c>
      <c r="Z2" s="2">
        <f>Y2+1</f>
        <v>2</v>
      </c>
      <c r="AA2" s="2">
        <f t="shared" ref="AA2:AJ2" si="2">Z2+1</f>
        <v>3</v>
      </c>
      <c r="AB2" s="2">
        <f t="shared" si="2"/>
        <v>4</v>
      </c>
      <c r="AC2" s="2">
        <f t="shared" si="2"/>
        <v>5</v>
      </c>
      <c r="AD2" s="2">
        <f t="shared" si="2"/>
        <v>6</v>
      </c>
      <c r="AE2" s="2">
        <f t="shared" si="2"/>
        <v>7</v>
      </c>
      <c r="AF2" s="2">
        <f t="shared" si="2"/>
        <v>8</v>
      </c>
      <c r="AG2" s="2">
        <f t="shared" si="2"/>
        <v>9</v>
      </c>
      <c r="AH2" s="2">
        <f t="shared" si="2"/>
        <v>10</v>
      </c>
      <c r="AI2" s="2">
        <f t="shared" si="2"/>
        <v>11</v>
      </c>
      <c r="AJ2" s="26">
        <f t="shared" si="2"/>
        <v>12</v>
      </c>
      <c r="AL2" s="23" t="s">
        <v>45</v>
      </c>
      <c r="AM2" s="23"/>
      <c r="AO2" s="23" t="s">
        <v>52</v>
      </c>
      <c r="AP2" s="2"/>
      <c r="AQ2" s="2"/>
    </row>
    <row r="3" spans="1:48" ht="15" thickBot="1" x14ac:dyDescent="0.35">
      <c r="A3" s="27">
        <v>8.4</v>
      </c>
      <c r="B3" s="28">
        <v>8.1999999999999993</v>
      </c>
      <c r="C3" s="28">
        <v>6.7</v>
      </c>
      <c r="D3" s="28">
        <v>7.5</v>
      </c>
      <c r="E3" s="28">
        <v>8.1</v>
      </c>
      <c r="F3" s="28">
        <v>10</v>
      </c>
      <c r="G3" s="28">
        <v>11.9</v>
      </c>
      <c r="H3" s="28">
        <v>11.9</v>
      </c>
      <c r="I3" s="28">
        <v>11.7</v>
      </c>
      <c r="J3" s="28">
        <v>10.6</v>
      </c>
      <c r="K3" s="28">
        <v>9</v>
      </c>
      <c r="L3" s="28">
        <v>7.9</v>
      </c>
      <c r="M3" s="3">
        <v>7.3</v>
      </c>
      <c r="N3" s="3">
        <v>7.1</v>
      </c>
      <c r="O3" s="3">
        <v>7.6</v>
      </c>
      <c r="P3" s="3">
        <v>7.6</v>
      </c>
      <c r="Q3" s="3">
        <v>8.5</v>
      </c>
      <c r="R3" s="3">
        <v>9.8000000000000007</v>
      </c>
      <c r="S3" s="3">
        <v>10.9</v>
      </c>
      <c r="T3" s="3">
        <v>11.7</v>
      </c>
      <c r="U3" s="3">
        <v>11.7</v>
      </c>
      <c r="V3" s="3">
        <v>10.4</v>
      </c>
      <c r="W3" s="3">
        <v>9.6999999999999993</v>
      </c>
      <c r="X3" s="3">
        <v>8.3000000000000007</v>
      </c>
      <c r="Y3" s="3">
        <v>7.5</v>
      </c>
      <c r="Z3" s="3">
        <v>7.2</v>
      </c>
      <c r="AA3" s="3">
        <v>8.1</v>
      </c>
      <c r="AB3" s="3">
        <v>7.8</v>
      </c>
      <c r="AC3" s="3">
        <v>8.8000000000000007</v>
      </c>
      <c r="AD3" s="3">
        <v>9.1</v>
      </c>
      <c r="AE3" s="3">
        <v>10.8</v>
      </c>
      <c r="AF3" s="3">
        <v>12</v>
      </c>
      <c r="AG3" s="3">
        <v>11.8</v>
      </c>
      <c r="AH3" s="3">
        <v>10</v>
      </c>
      <c r="AI3" s="3">
        <v>9.1</v>
      </c>
      <c r="AJ3" s="3">
        <v>8.1999999999999993</v>
      </c>
      <c r="AL3" s="45" t="s">
        <v>46</v>
      </c>
      <c r="AM3" s="44">
        <v>2.3290000000000002</v>
      </c>
      <c r="AN3" s="13"/>
      <c r="AO3" s="2">
        <f>$AJ$6-$AM$3*((1-$AJ$6*$AJ$6)/SQRT(35))</f>
        <v>0.67683522395331153</v>
      </c>
      <c r="AP3" s="2">
        <f>$AJ$6+$AM$3*((1-$AJ$6*$AJ$6)/SQRT(35))</f>
        <v>0.94587409706302328</v>
      </c>
      <c r="AQ3" s="13"/>
      <c r="AR3" s="13"/>
      <c r="AS3" s="13"/>
      <c r="AT3" s="13"/>
      <c r="AU3" s="13"/>
      <c r="AV3" s="13"/>
    </row>
    <row r="4" spans="1:48" x14ac:dyDescent="0.3">
      <c r="AL4" s="45" t="s">
        <v>47</v>
      </c>
      <c r="AM4" s="46">
        <f>$AJ$6*(SQRT(33)/SQRT(1-$AJ$6*$AJ$6))</f>
        <v>7.9733883723622334</v>
      </c>
      <c r="AN4" s="13"/>
      <c r="AO4" s="13"/>
      <c r="AP4" s="13"/>
      <c r="AQ4" s="13"/>
      <c r="AR4" s="13"/>
      <c r="AS4" s="13"/>
      <c r="AT4" s="13"/>
      <c r="AU4" s="13"/>
      <c r="AV4" s="13"/>
    </row>
    <row r="5" spans="1:48" ht="15" thickBot="1" x14ac:dyDescent="0.35">
      <c r="A5" s="27">
        <v>8.4</v>
      </c>
      <c r="B5" s="28">
        <v>8.1999999999999993</v>
      </c>
      <c r="C5" s="28">
        <v>6.7</v>
      </c>
      <c r="D5" s="28">
        <v>7.5</v>
      </c>
      <c r="E5" s="28">
        <v>8.1</v>
      </c>
      <c r="F5" s="28">
        <v>10</v>
      </c>
      <c r="G5" s="28">
        <v>11.9</v>
      </c>
      <c r="H5" s="28">
        <v>11.9</v>
      </c>
      <c r="I5" s="28">
        <v>11.7</v>
      </c>
      <c r="J5" s="28">
        <v>10.6</v>
      </c>
      <c r="K5" s="28">
        <v>9</v>
      </c>
      <c r="L5" s="28">
        <v>7.9</v>
      </c>
      <c r="M5" s="3">
        <v>7.3</v>
      </c>
      <c r="N5" s="3">
        <v>7.1</v>
      </c>
      <c r="O5" s="3">
        <v>7.6</v>
      </c>
      <c r="P5" s="3">
        <v>7.6</v>
      </c>
      <c r="Q5" s="3">
        <v>8.5</v>
      </c>
      <c r="R5" s="3">
        <v>9.8000000000000007</v>
      </c>
      <c r="S5" s="3">
        <v>10.9</v>
      </c>
      <c r="T5" s="3">
        <v>11.7</v>
      </c>
      <c r="U5" s="3">
        <v>11.7</v>
      </c>
      <c r="V5" s="3">
        <v>10.4</v>
      </c>
      <c r="W5" s="3">
        <v>9.6999999999999993</v>
      </c>
      <c r="X5" s="3">
        <v>8.3000000000000007</v>
      </c>
      <c r="Y5" s="3">
        <v>7.5</v>
      </c>
      <c r="Z5" s="3">
        <v>7.2</v>
      </c>
      <c r="AA5" s="3">
        <v>8.1</v>
      </c>
      <c r="AB5" s="3">
        <v>7.8</v>
      </c>
      <c r="AC5" s="3">
        <v>8.8000000000000007</v>
      </c>
      <c r="AD5" s="3">
        <v>9.1</v>
      </c>
      <c r="AE5" s="3">
        <v>10.8</v>
      </c>
      <c r="AF5" s="3">
        <v>12</v>
      </c>
      <c r="AG5" s="3">
        <v>11.8</v>
      </c>
      <c r="AH5" s="3">
        <v>10</v>
      </c>
      <c r="AI5" s="40">
        <v>9.1</v>
      </c>
      <c r="AJ5" s="42" t="s">
        <v>45</v>
      </c>
      <c r="AL5" s="13" t="s">
        <v>48</v>
      </c>
      <c r="AM5" s="13" t="s">
        <v>49</v>
      </c>
      <c r="AN5" s="37"/>
      <c r="AO5" s="13"/>
      <c r="AP5" s="38"/>
      <c r="AQ5" s="13"/>
      <c r="AR5" s="13"/>
      <c r="AS5" s="13"/>
      <c r="AT5" s="13"/>
      <c r="AU5" s="38"/>
      <c r="AV5" s="13"/>
    </row>
    <row r="6" spans="1:48" ht="15" thickBot="1" x14ac:dyDescent="0.35">
      <c r="A6" s="28">
        <v>8.1999999999999993</v>
      </c>
      <c r="B6" s="28">
        <v>6.7</v>
      </c>
      <c r="C6" s="28">
        <v>7.5</v>
      </c>
      <c r="D6" s="28">
        <v>8.1</v>
      </c>
      <c r="E6" s="28">
        <v>10</v>
      </c>
      <c r="F6" s="28">
        <v>11.9</v>
      </c>
      <c r="G6" s="28">
        <v>11.9</v>
      </c>
      <c r="H6" s="28">
        <v>11.7</v>
      </c>
      <c r="I6" s="28">
        <v>10.6</v>
      </c>
      <c r="J6" s="28">
        <v>9</v>
      </c>
      <c r="K6" s="28">
        <v>7.9</v>
      </c>
      <c r="L6" s="3">
        <v>7.3</v>
      </c>
      <c r="M6" s="3">
        <v>7.1</v>
      </c>
      <c r="N6" s="3">
        <v>7.6</v>
      </c>
      <c r="O6" s="3">
        <v>7.6</v>
      </c>
      <c r="P6" s="3">
        <v>8.5</v>
      </c>
      <c r="Q6" s="3">
        <v>9.8000000000000007</v>
      </c>
      <c r="R6" s="3">
        <v>10.9</v>
      </c>
      <c r="S6" s="3">
        <v>11.7</v>
      </c>
      <c r="T6" s="3">
        <v>11.7</v>
      </c>
      <c r="U6" s="3">
        <v>10.4</v>
      </c>
      <c r="V6" s="3">
        <v>9.6999999999999993</v>
      </c>
      <c r="W6" s="3">
        <v>8.3000000000000007</v>
      </c>
      <c r="X6" s="3">
        <v>7.5</v>
      </c>
      <c r="Y6" s="3">
        <v>7.2</v>
      </c>
      <c r="Z6" s="3">
        <v>8.1</v>
      </c>
      <c r="AA6" s="3">
        <v>7.8</v>
      </c>
      <c r="AB6" s="3">
        <v>8.8000000000000007</v>
      </c>
      <c r="AC6" s="3">
        <v>9.1</v>
      </c>
      <c r="AD6" s="3">
        <v>10.8</v>
      </c>
      <c r="AE6" s="3">
        <v>12</v>
      </c>
      <c r="AF6" s="3">
        <v>11.8</v>
      </c>
      <c r="AG6" s="3">
        <v>10</v>
      </c>
      <c r="AH6" s="3">
        <v>9.1</v>
      </c>
      <c r="AI6" s="40">
        <v>8.1999999999999993</v>
      </c>
      <c r="AJ6" s="42">
        <f>CORREL(A5:AI5,A6:AI6)</f>
        <v>0.8113546605081674</v>
      </c>
      <c r="AL6" s="13"/>
      <c r="AM6" s="13" t="s">
        <v>50</v>
      </c>
      <c r="AN6" s="13"/>
      <c r="AO6" s="13"/>
      <c r="AP6" s="13"/>
      <c r="AQ6" s="13"/>
      <c r="AR6" s="13"/>
      <c r="AS6" s="13"/>
      <c r="AT6" s="13"/>
      <c r="AU6" s="13"/>
      <c r="AV6" s="13"/>
    </row>
    <row r="7" spans="1:48" x14ac:dyDescent="0.3"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x14ac:dyDescent="0.3">
      <c r="AI8" s="31"/>
      <c r="AJ8" s="29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ht="15" thickBot="1" x14ac:dyDescent="0.35">
      <c r="A9" s="27">
        <v>8.4</v>
      </c>
      <c r="B9" s="28">
        <v>8.1999999999999993</v>
      </c>
      <c r="C9" s="28">
        <v>6.7</v>
      </c>
      <c r="D9" s="28">
        <v>7.5</v>
      </c>
      <c r="E9" s="28">
        <v>8.1</v>
      </c>
      <c r="F9" s="28">
        <v>10</v>
      </c>
      <c r="G9" s="28">
        <v>11.9</v>
      </c>
      <c r="H9" s="28">
        <v>11.9</v>
      </c>
      <c r="I9" s="28">
        <v>11.7</v>
      </c>
      <c r="J9" s="28">
        <v>10.6</v>
      </c>
      <c r="K9" s="28">
        <v>9</v>
      </c>
      <c r="L9" s="28">
        <v>7.9</v>
      </c>
      <c r="M9" s="3">
        <v>7.3</v>
      </c>
      <c r="N9" s="3">
        <v>7.1</v>
      </c>
      <c r="O9" s="3">
        <v>7.6</v>
      </c>
      <c r="P9" s="3">
        <v>7.6</v>
      </c>
      <c r="Q9" s="3">
        <v>8.5</v>
      </c>
      <c r="R9" s="3">
        <v>9.8000000000000007</v>
      </c>
      <c r="S9" s="3">
        <v>10.9</v>
      </c>
      <c r="T9" s="3">
        <v>11.7</v>
      </c>
      <c r="U9" s="3">
        <v>11.7</v>
      </c>
      <c r="V9" s="3">
        <v>10.4</v>
      </c>
      <c r="W9" s="3">
        <v>9.6999999999999993</v>
      </c>
      <c r="X9" s="3">
        <v>8.3000000000000007</v>
      </c>
      <c r="Y9" s="3">
        <v>7.5</v>
      </c>
      <c r="Z9" s="3">
        <v>7.2</v>
      </c>
      <c r="AA9" s="3">
        <v>8.1</v>
      </c>
      <c r="AB9" s="3">
        <v>7.8</v>
      </c>
      <c r="AC9" s="3">
        <v>8.8000000000000007</v>
      </c>
      <c r="AD9" s="3">
        <v>9.1</v>
      </c>
      <c r="AE9" s="3">
        <v>10.8</v>
      </c>
      <c r="AF9" s="3">
        <v>12</v>
      </c>
      <c r="AG9" s="3">
        <v>11.8</v>
      </c>
      <c r="AH9" s="40">
        <v>10</v>
      </c>
      <c r="AI9" s="42" t="s">
        <v>51</v>
      </c>
      <c r="AJ9" s="32"/>
      <c r="AL9" s="23" t="s">
        <v>51</v>
      </c>
      <c r="AM9" s="23"/>
      <c r="AN9" s="37"/>
      <c r="AO9" s="47" t="s">
        <v>52</v>
      </c>
      <c r="AP9" s="49"/>
      <c r="AQ9" s="2"/>
      <c r="AR9" s="13"/>
      <c r="AS9" s="13"/>
      <c r="AT9" s="13"/>
      <c r="AU9" s="38"/>
      <c r="AV9" s="13"/>
    </row>
    <row r="10" spans="1:48" ht="15" thickBot="1" x14ac:dyDescent="0.35">
      <c r="A10" s="28">
        <v>6.7</v>
      </c>
      <c r="B10" s="28">
        <v>7.5</v>
      </c>
      <c r="C10" s="28">
        <v>8.1</v>
      </c>
      <c r="D10" s="28">
        <v>10</v>
      </c>
      <c r="E10" s="28">
        <v>11.9</v>
      </c>
      <c r="F10" s="28">
        <v>11.9</v>
      </c>
      <c r="G10" s="28">
        <v>11.7</v>
      </c>
      <c r="H10" s="28">
        <v>10.6</v>
      </c>
      <c r="I10" s="28">
        <v>9</v>
      </c>
      <c r="J10" s="28">
        <v>7.9</v>
      </c>
      <c r="K10" s="3">
        <v>7.3</v>
      </c>
      <c r="L10" s="3">
        <v>7.1</v>
      </c>
      <c r="M10" s="3">
        <v>7.6</v>
      </c>
      <c r="N10" s="3">
        <v>7.6</v>
      </c>
      <c r="O10" s="3">
        <v>8.5</v>
      </c>
      <c r="P10" s="3">
        <v>9.8000000000000007</v>
      </c>
      <c r="Q10" s="3">
        <v>10.9</v>
      </c>
      <c r="R10" s="3">
        <v>11.7</v>
      </c>
      <c r="S10" s="3">
        <v>11.7</v>
      </c>
      <c r="T10" s="3">
        <v>10.4</v>
      </c>
      <c r="U10" s="3">
        <v>9.6999999999999993</v>
      </c>
      <c r="V10" s="3">
        <v>8.3000000000000007</v>
      </c>
      <c r="W10" s="3">
        <v>7.5</v>
      </c>
      <c r="X10" s="3">
        <v>7.2</v>
      </c>
      <c r="Y10" s="3">
        <v>8.1</v>
      </c>
      <c r="Z10" s="3">
        <v>7.8</v>
      </c>
      <c r="AA10" s="3">
        <v>8.8000000000000007</v>
      </c>
      <c r="AB10" s="3">
        <v>9.1</v>
      </c>
      <c r="AC10" s="3">
        <v>10.8</v>
      </c>
      <c r="AD10" s="3">
        <v>12</v>
      </c>
      <c r="AE10" s="3">
        <v>11.8</v>
      </c>
      <c r="AF10" s="3">
        <v>10</v>
      </c>
      <c r="AG10" s="3">
        <v>9.1</v>
      </c>
      <c r="AH10" s="40">
        <v>8.1999999999999993</v>
      </c>
      <c r="AI10" s="42">
        <f>CORREL(A9:AH9,A10:AH10)</f>
        <v>0.41702706713588178</v>
      </c>
      <c r="AJ10" s="32"/>
      <c r="AL10" s="45" t="s">
        <v>46</v>
      </c>
      <c r="AM10" s="44">
        <v>2.3290000000000002</v>
      </c>
      <c r="AN10" s="13"/>
      <c r="AO10" s="2">
        <f>$AI$10-$AM$3*((1-$AI$10*$AI$10)/SQRT(34))</f>
        <v>8.707065913177281E-2</v>
      </c>
      <c r="AP10" s="48">
        <f>$AI$10+$AM$3*((1-$AI$10*$AI$10)/SQRT(34))</f>
        <v>0.74698347513999075</v>
      </c>
      <c r="AQ10" s="13"/>
      <c r="AR10" s="13"/>
      <c r="AS10" s="13"/>
      <c r="AT10" s="13"/>
      <c r="AU10" s="13"/>
      <c r="AV10" s="13"/>
    </row>
    <row r="11" spans="1:48" x14ac:dyDescent="0.3">
      <c r="AI11" s="30"/>
      <c r="AJ11" s="29"/>
      <c r="AL11" s="45" t="s">
        <v>47</v>
      </c>
      <c r="AM11" s="46">
        <f>$AI$10*(SQRT(32)/SQRT(1-$AI$10*$AI$10))</f>
        <v>2.5955294705719552</v>
      </c>
      <c r="AN11" s="13" t="s">
        <v>49</v>
      </c>
      <c r="AO11" s="13"/>
      <c r="AP11" s="13"/>
      <c r="AQ11" s="13"/>
      <c r="AR11" s="13"/>
      <c r="AS11" s="13"/>
      <c r="AT11" s="13"/>
      <c r="AU11" s="13"/>
      <c r="AV11" s="13"/>
    </row>
    <row r="12" spans="1:48" x14ac:dyDescent="0.3">
      <c r="AI12" s="29"/>
      <c r="AJ12" s="29"/>
      <c r="AL12" s="13" t="s">
        <v>48</v>
      </c>
      <c r="AM12" s="13"/>
      <c r="AN12" s="13" t="s">
        <v>50</v>
      </c>
      <c r="AO12" s="13"/>
      <c r="AP12" s="13"/>
      <c r="AQ12" s="13"/>
      <c r="AR12" s="13"/>
      <c r="AS12" s="13"/>
      <c r="AT12" s="13"/>
      <c r="AU12" s="13"/>
      <c r="AV12" s="13"/>
    </row>
    <row r="13" spans="1:48" ht="15" thickBot="1" x14ac:dyDescent="0.35">
      <c r="A13" s="27">
        <v>8.4</v>
      </c>
      <c r="B13" s="28">
        <v>8.1999999999999993</v>
      </c>
      <c r="C13" s="28">
        <v>6.7</v>
      </c>
      <c r="D13" s="28">
        <v>7.5</v>
      </c>
      <c r="E13" s="28">
        <v>8.1</v>
      </c>
      <c r="F13" s="28">
        <v>10</v>
      </c>
      <c r="G13" s="28">
        <v>11.9</v>
      </c>
      <c r="H13" s="28">
        <v>11.9</v>
      </c>
      <c r="I13" s="28">
        <v>11.7</v>
      </c>
      <c r="J13" s="28">
        <v>10.6</v>
      </c>
      <c r="K13" s="28">
        <v>9</v>
      </c>
      <c r="L13" s="28">
        <v>7.9</v>
      </c>
      <c r="M13" s="3">
        <v>7.3</v>
      </c>
      <c r="N13" s="3">
        <v>7.1</v>
      </c>
      <c r="O13" s="3">
        <v>7.6</v>
      </c>
      <c r="P13" s="3">
        <v>7.6</v>
      </c>
      <c r="Q13" s="3">
        <v>8.5</v>
      </c>
      <c r="R13" s="3">
        <v>9.8000000000000007</v>
      </c>
      <c r="S13" s="3">
        <v>10.9</v>
      </c>
      <c r="T13" s="3">
        <v>11.7</v>
      </c>
      <c r="U13" s="3">
        <v>11.7</v>
      </c>
      <c r="V13" s="3">
        <v>10.4</v>
      </c>
      <c r="W13" s="3">
        <v>9.6999999999999993</v>
      </c>
      <c r="X13" s="3">
        <v>8.3000000000000007</v>
      </c>
      <c r="Y13" s="3">
        <v>7.5</v>
      </c>
      <c r="Z13" s="3">
        <v>7.2</v>
      </c>
      <c r="AA13" s="3">
        <v>8.1</v>
      </c>
      <c r="AB13" s="3">
        <v>7.8</v>
      </c>
      <c r="AC13" s="3">
        <v>8.8000000000000007</v>
      </c>
      <c r="AD13" s="3">
        <v>9.1</v>
      </c>
      <c r="AE13" s="3">
        <v>10.8</v>
      </c>
      <c r="AF13" s="3">
        <v>12</v>
      </c>
      <c r="AG13" s="40">
        <v>11.8</v>
      </c>
      <c r="AH13" s="42" t="s">
        <v>53</v>
      </c>
      <c r="AI13" s="32"/>
      <c r="AJ13" s="29"/>
      <c r="AL13" s="37"/>
      <c r="AM13" s="37"/>
      <c r="AN13" s="37"/>
      <c r="AO13" s="13"/>
      <c r="AP13" s="38"/>
      <c r="AQ13" s="13"/>
      <c r="AR13" s="13"/>
      <c r="AS13" s="13"/>
      <c r="AT13" s="13"/>
      <c r="AU13" s="38"/>
      <c r="AV13" s="13"/>
    </row>
    <row r="14" spans="1:48" ht="15" thickBot="1" x14ac:dyDescent="0.35">
      <c r="A14" s="28">
        <v>7.5</v>
      </c>
      <c r="B14" s="28">
        <v>8.1</v>
      </c>
      <c r="C14" s="28">
        <v>10</v>
      </c>
      <c r="D14" s="28">
        <v>11.9</v>
      </c>
      <c r="E14" s="28">
        <v>11.9</v>
      </c>
      <c r="F14" s="28">
        <v>11.7</v>
      </c>
      <c r="G14" s="28">
        <v>10.6</v>
      </c>
      <c r="H14" s="28">
        <v>9</v>
      </c>
      <c r="I14" s="28">
        <v>7.9</v>
      </c>
      <c r="J14" s="3">
        <v>7.3</v>
      </c>
      <c r="K14" s="3">
        <v>7.1</v>
      </c>
      <c r="L14" s="3">
        <v>7.6</v>
      </c>
      <c r="M14" s="3">
        <v>7.6</v>
      </c>
      <c r="N14" s="3">
        <v>8.5</v>
      </c>
      <c r="O14" s="3">
        <v>9.8000000000000007</v>
      </c>
      <c r="P14" s="3">
        <v>10.9</v>
      </c>
      <c r="Q14" s="3">
        <v>11.7</v>
      </c>
      <c r="R14" s="3">
        <v>11.7</v>
      </c>
      <c r="S14" s="3">
        <v>10.4</v>
      </c>
      <c r="T14" s="3">
        <v>9.6999999999999993</v>
      </c>
      <c r="U14" s="3">
        <v>8.3000000000000007</v>
      </c>
      <c r="V14" s="3">
        <v>7.5</v>
      </c>
      <c r="W14" s="3">
        <v>7.2</v>
      </c>
      <c r="X14" s="3">
        <v>8.1</v>
      </c>
      <c r="Y14" s="3">
        <v>7.8</v>
      </c>
      <c r="Z14" s="3">
        <v>8.8000000000000007</v>
      </c>
      <c r="AA14" s="3">
        <v>9.1</v>
      </c>
      <c r="AB14" s="3">
        <v>10.8</v>
      </c>
      <c r="AC14" s="3">
        <v>12</v>
      </c>
      <c r="AD14" s="3">
        <v>11.8</v>
      </c>
      <c r="AE14" s="3">
        <v>10</v>
      </c>
      <c r="AF14" s="3">
        <v>9.1</v>
      </c>
      <c r="AG14" s="40">
        <v>8.1999999999999993</v>
      </c>
      <c r="AH14" s="42">
        <f>CORREL(A13:AG13,A14:AG14)</f>
        <v>-8.6302169638591664E-2</v>
      </c>
      <c r="AI14" s="32"/>
      <c r="AJ14" s="29"/>
      <c r="AL14" s="23" t="s">
        <v>53</v>
      </c>
      <c r="AM14" s="23"/>
      <c r="AN14" s="13"/>
      <c r="AO14" s="47" t="s">
        <v>52</v>
      </c>
      <c r="AP14" s="51"/>
      <c r="AQ14" s="2"/>
      <c r="AR14" s="13"/>
      <c r="AS14" s="13"/>
      <c r="AT14" s="13"/>
      <c r="AU14" s="13"/>
      <c r="AV14" s="13"/>
    </row>
    <row r="15" spans="1:48" x14ac:dyDescent="0.3">
      <c r="AI15" s="29"/>
      <c r="AJ15" s="29"/>
      <c r="AL15" s="45" t="s">
        <v>46</v>
      </c>
      <c r="AM15" s="44">
        <v>2.3290000000000002</v>
      </c>
      <c r="AN15" s="13"/>
      <c r="AO15" s="2">
        <f>$AH$14-$AM$3*((1-$AH$14*$AH$14)/SQRT(33))</f>
        <v>-0.48870938495708455</v>
      </c>
      <c r="AP15" s="2">
        <f>$AH$14+$AM$3*((1-$AH$14*$AH$14)/SQRT(33))</f>
        <v>0.31610504567990122</v>
      </c>
      <c r="AQ15" s="13"/>
      <c r="AR15" s="13"/>
      <c r="AS15" s="13"/>
      <c r="AT15" s="13"/>
      <c r="AU15" s="13"/>
      <c r="AV15" s="13"/>
    </row>
    <row r="16" spans="1:48" x14ac:dyDescent="0.3">
      <c r="AI16" s="29"/>
      <c r="AJ16" s="29"/>
      <c r="AL16" s="45" t="s">
        <v>47</v>
      </c>
      <c r="AM16" s="46">
        <f>-1*$AH$14*(SQRT(31)/SQRT(1-($AH$14*$AH$14)))</f>
        <v>0.4823096381402544</v>
      </c>
      <c r="AN16" s="13"/>
      <c r="AO16" s="13"/>
      <c r="AP16" s="13"/>
      <c r="AQ16" s="13"/>
      <c r="AR16" s="13"/>
      <c r="AS16" s="13"/>
      <c r="AT16" s="13"/>
      <c r="AU16" s="13"/>
      <c r="AV16" s="13"/>
    </row>
    <row r="17" spans="1:48" ht="15" thickBot="1" x14ac:dyDescent="0.35">
      <c r="A17" s="27">
        <v>8.4</v>
      </c>
      <c r="B17" s="28">
        <v>8.1999999999999993</v>
      </c>
      <c r="C17" s="28">
        <v>6.7</v>
      </c>
      <c r="D17" s="28">
        <v>7.5</v>
      </c>
      <c r="E17" s="28">
        <v>8.1</v>
      </c>
      <c r="F17" s="28">
        <v>10</v>
      </c>
      <c r="G17" s="28">
        <v>11.9</v>
      </c>
      <c r="H17" s="28">
        <v>11.9</v>
      </c>
      <c r="I17" s="28">
        <v>11.7</v>
      </c>
      <c r="J17" s="28">
        <v>10.6</v>
      </c>
      <c r="K17" s="28">
        <v>9</v>
      </c>
      <c r="L17" s="28">
        <v>7.9</v>
      </c>
      <c r="M17" s="3">
        <v>7.3</v>
      </c>
      <c r="N17" s="3">
        <v>7.1</v>
      </c>
      <c r="O17" s="3">
        <v>7.6</v>
      </c>
      <c r="P17" s="3">
        <v>7.6</v>
      </c>
      <c r="Q17" s="3">
        <v>8.5</v>
      </c>
      <c r="R17" s="3">
        <v>9.8000000000000007</v>
      </c>
      <c r="S17" s="3">
        <v>10.9</v>
      </c>
      <c r="T17" s="3">
        <v>11.7</v>
      </c>
      <c r="U17" s="3">
        <v>11.7</v>
      </c>
      <c r="V17" s="3">
        <v>10.4</v>
      </c>
      <c r="W17" s="3">
        <v>9.6999999999999993</v>
      </c>
      <c r="X17" s="3">
        <v>8.3000000000000007</v>
      </c>
      <c r="Y17" s="3">
        <v>7.5</v>
      </c>
      <c r="Z17" s="3">
        <v>7.2</v>
      </c>
      <c r="AA17" s="3">
        <v>8.1</v>
      </c>
      <c r="AB17" s="3">
        <v>7.8</v>
      </c>
      <c r="AC17" s="3">
        <v>8.8000000000000007</v>
      </c>
      <c r="AD17" s="3">
        <v>9.1</v>
      </c>
      <c r="AE17" s="3">
        <v>10.8</v>
      </c>
      <c r="AF17" s="40">
        <v>12</v>
      </c>
      <c r="AG17" s="42" t="s">
        <v>57</v>
      </c>
      <c r="AH17" s="41"/>
      <c r="AI17" s="29"/>
      <c r="AJ17" s="29"/>
      <c r="AL17" s="13" t="s">
        <v>54</v>
      </c>
      <c r="AM17" s="37"/>
      <c r="AN17" s="50" t="s">
        <v>55</v>
      </c>
      <c r="AO17" s="13"/>
      <c r="AP17" s="38"/>
      <c r="AQ17" s="13"/>
      <c r="AR17" s="13"/>
      <c r="AS17" s="13"/>
      <c r="AT17" s="13"/>
      <c r="AU17" s="38"/>
      <c r="AV17" s="13"/>
    </row>
    <row r="18" spans="1:48" ht="15" thickBot="1" x14ac:dyDescent="0.35">
      <c r="A18" s="28">
        <v>8.1</v>
      </c>
      <c r="B18" s="28">
        <v>10</v>
      </c>
      <c r="C18" s="28">
        <v>11.9</v>
      </c>
      <c r="D18" s="28">
        <v>11.9</v>
      </c>
      <c r="E18" s="28">
        <v>11.7</v>
      </c>
      <c r="F18" s="28">
        <v>10.6</v>
      </c>
      <c r="G18" s="28">
        <v>9</v>
      </c>
      <c r="H18" s="28">
        <v>7.9</v>
      </c>
      <c r="I18" s="3">
        <v>7.3</v>
      </c>
      <c r="J18" s="3">
        <v>7.1</v>
      </c>
      <c r="K18" s="3">
        <v>7.6</v>
      </c>
      <c r="L18" s="3">
        <v>7.6</v>
      </c>
      <c r="M18" s="3">
        <v>8.5</v>
      </c>
      <c r="N18" s="3">
        <v>9.8000000000000007</v>
      </c>
      <c r="O18" s="3">
        <v>10.9</v>
      </c>
      <c r="P18" s="3">
        <v>11.7</v>
      </c>
      <c r="Q18" s="3">
        <v>11.7</v>
      </c>
      <c r="R18" s="3">
        <v>10.4</v>
      </c>
      <c r="S18" s="3">
        <v>9.6999999999999993</v>
      </c>
      <c r="T18" s="3">
        <v>8.3000000000000007</v>
      </c>
      <c r="U18" s="3">
        <v>7.5</v>
      </c>
      <c r="V18" s="3">
        <v>7.2</v>
      </c>
      <c r="W18" s="3">
        <v>8.1</v>
      </c>
      <c r="X18" s="3">
        <v>7.8</v>
      </c>
      <c r="Y18" s="3">
        <v>8.8000000000000007</v>
      </c>
      <c r="Z18" s="3">
        <v>9.1</v>
      </c>
      <c r="AA18" s="3">
        <v>10.8</v>
      </c>
      <c r="AB18" s="3">
        <v>12</v>
      </c>
      <c r="AC18" s="3">
        <v>11.8</v>
      </c>
      <c r="AD18" s="3">
        <v>10</v>
      </c>
      <c r="AE18" s="3">
        <v>9.1</v>
      </c>
      <c r="AF18" s="40">
        <v>8.1999999999999993</v>
      </c>
      <c r="AG18" s="42">
        <f>CORREL(A17:AF17,A18:AF18)</f>
        <v>-0.52544407899158052</v>
      </c>
      <c r="AH18" s="41"/>
      <c r="AI18" s="29"/>
      <c r="AJ18" s="29"/>
      <c r="AL18" s="13"/>
      <c r="AM18" s="13"/>
      <c r="AN18" s="13" t="s">
        <v>56</v>
      </c>
      <c r="AO18" s="13"/>
      <c r="AP18" s="13"/>
      <c r="AQ18" s="13"/>
      <c r="AR18" s="13"/>
      <c r="AS18" s="13"/>
      <c r="AT18" s="13"/>
      <c r="AU18" s="13"/>
      <c r="AV18" s="13"/>
    </row>
    <row r="19" spans="1:48" x14ac:dyDescent="0.3">
      <c r="AG19" s="30"/>
      <c r="AH19" s="29"/>
      <c r="AI19" s="30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spans="1:48" x14ac:dyDescent="0.3">
      <c r="AG20" s="29"/>
      <c r="AH20" s="29"/>
      <c r="AI20" s="29"/>
      <c r="AL20" s="23" t="s">
        <v>57</v>
      </c>
      <c r="AM20" s="23"/>
      <c r="AN20" s="13"/>
      <c r="AO20" s="47" t="s">
        <v>52</v>
      </c>
      <c r="AP20" s="51"/>
      <c r="AQ20" s="2"/>
      <c r="AR20" s="13"/>
      <c r="AS20" s="13"/>
      <c r="AT20" s="13"/>
      <c r="AU20" s="13"/>
      <c r="AV20" s="13"/>
    </row>
    <row r="21" spans="1:48" ht="15" thickBot="1" x14ac:dyDescent="0.35">
      <c r="A21" s="27">
        <v>8.4</v>
      </c>
      <c r="B21" s="28">
        <v>8.1999999999999993</v>
      </c>
      <c r="C21" s="28">
        <v>6.7</v>
      </c>
      <c r="D21" s="28">
        <v>7.5</v>
      </c>
      <c r="E21" s="28">
        <v>8.1</v>
      </c>
      <c r="F21" s="28">
        <v>10</v>
      </c>
      <c r="G21" s="28">
        <v>11.9</v>
      </c>
      <c r="H21" s="28">
        <v>11.9</v>
      </c>
      <c r="I21" s="28">
        <v>11.7</v>
      </c>
      <c r="J21" s="28">
        <v>10.6</v>
      </c>
      <c r="K21" s="28">
        <v>9</v>
      </c>
      <c r="L21" s="28">
        <v>7.9</v>
      </c>
      <c r="M21" s="3">
        <v>7.3</v>
      </c>
      <c r="N21" s="3">
        <v>7.1</v>
      </c>
      <c r="O21" s="3">
        <v>7.6</v>
      </c>
      <c r="P21" s="3">
        <v>7.6</v>
      </c>
      <c r="Q21" s="3">
        <v>8.5</v>
      </c>
      <c r="R21" s="3">
        <v>9.8000000000000007</v>
      </c>
      <c r="S21" s="3">
        <v>10.9</v>
      </c>
      <c r="T21" s="3">
        <v>11.7</v>
      </c>
      <c r="U21" s="3">
        <v>11.7</v>
      </c>
      <c r="V21" s="3">
        <v>10.4</v>
      </c>
      <c r="W21" s="3">
        <v>9.6999999999999993</v>
      </c>
      <c r="X21" s="3">
        <v>8.3000000000000007</v>
      </c>
      <c r="Y21" s="3">
        <v>7.5</v>
      </c>
      <c r="Z21" s="3">
        <v>7.2</v>
      </c>
      <c r="AA21" s="3">
        <v>8.1</v>
      </c>
      <c r="AB21" s="3">
        <v>7.8</v>
      </c>
      <c r="AC21" s="3">
        <v>8.8000000000000007</v>
      </c>
      <c r="AD21" s="3">
        <v>9.1</v>
      </c>
      <c r="AE21" s="40">
        <v>10.8</v>
      </c>
      <c r="AF21" s="42" t="s">
        <v>58</v>
      </c>
      <c r="AG21" s="32"/>
      <c r="AH21" s="29"/>
      <c r="AI21" s="29"/>
      <c r="AL21" s="45" t="s">
        <v>46</v>
      </c>
      <c r="AM21" s="44">
        <v>2.36</v>
      </c>
      <c r="AN21" s="37"/>
      <c r="AO21" s="2">
        <f>$AG$18-$AM$21*((1-$AG$18*$AG$18)/SQRT(32))</f>
        <v>-0.82745364676604694</v>
      </c>
      <c r="AP21" s="49">
        <f>$AG$18+$AM$21*((1-$AG$18*$AG$18)/SQRT(32))</f>
        <v>-0.22343451121711411</v>
      </c>
      <c r="AQ21" s="13"/>
      <c r="AR21" s="13"/>
      <c r="AS21" s="13"/>
      <c r="AT21" s="13"/>
      <c r="AU21" s="38"/>
      <c r="AV21" s="13"/>
    </row>
    <row r="22" spans="1:48" ht="15" thickBot="1" x14ac:dyDescent="0.35">
      <c r="A22" s="28">
        <v>10</v>
      </c>
      <c r="B22" s="28">
        <v>11.9</v>
      </c>
      <c r="C22" s="28">
        <v>11.9</v>
      </c>
      <c r="D22" s="28">
        <v>11.7</v>
      </c>
      <c r="E22" s="28">
        <v>10.6</v>
      </c>
      <c r="F22" s="28">
        <v>9</v>
      </c>
      <c r="G22" s="28">
        <v>7.9</v>
      </c>
      <c r="H22" s="3">
        <v>7.3</v>
      </c>
      <c r="I22" s="3">
        <v>7.1</v>
      </c>
      <c r="J22" s="3">
        <v>7.6</v>
      </c>
      <c r="K22" s="3">
        <v>7.6</v>
      </c>
      <c r="L22" s="3">
        <v>8.5</v>
      </c>
      <c r="M22" s="3">
        <v>9.8000000000000007</v>
      </c>
      <c r="N22" s="3">
        <v>10.9</v>
      </c>
      <c r="O22" s="3">
        <v>11.7</v>
      </c>
      <c r="P22" s="3">
        <v>11.7</v>
      </c>
      <c r="Q22" s="3">
        <v>10.4</v>
      </c>
      <c r="R22" s="3">
        <v>9.6999999999999993</v>
      </c>
      <c r="S22" s="3">
        <v>8.3000000000000007</v>
      </c>
      <c r="T22" s="3">
        <v>7.5</v>
      </c>
      <c r="U22" s="3">
        <v>7.2</v>
      </c>
      <c r="V22" s="3">
        <v>8.1</v>
      </c>
      <c r="W22" s="3">
        <v>7.8</v>
      </c>
      <c r="X22" s="3">
        <v>8.8000000000000007</v>
      </c>
      <c r="Y22" s="3">
        <v>9.1</v>
      </c>
      <c r="Z22" s="3">
        <v>10.8</v>
      </c>
      <c r="AA22" s="3">
        <v>12</v>
      </c>
      <c r="AB22" s="3">
        <v>11.8</v>
      </c>
      <c r="AC22" s="3">
        <v>10</v>
      </c>
      <c r="AD22" s="3">
        <v>9.1</v>
      </c>
      <c r="AE22" s="40">
        <v>8.1999999999999993</v>
      </c>
      <c r="AF22" s="42">
        <f>CORREL(A21:AE21,A22:AE22)</f>
        <v>-0.81598336595886556</v>
      </c>
      <c r="AG22" s="32"/>
      <c r="AH22" s="29"/>
      <c r="AI22" s="29"/>
      <c r="AL22" s="45" t="s">
        <v>47</v>
      </c>
      <c r="AM22" s="46">
        <f>-1*$AG$18*(SQRT(30)/SQRT(1-($AG$18*$AG$18)))</f>
        <v>3.382558263282351</v>
      </c>
      <c r="AN22" s="13" t="s">
        <v>49</v>
      </c>
      <c r="AO22" s="13"/>
      <c r="AP22" s="13"/>
      <c r="AQ22" s="13"/>
      <c r="AR22" s="13"/>
      <c r="AS22" s="13"/>
      <c r="AT22" s="13"/>
      <c r="AU22" s="13"/>
      <c r="AV22" s="13"/>
    </row>
    <row r="23" spans="1:48" x14ac:dyDescent="0.3">
      <c r="AG23" s="29"/>
      <c r="AH23" s="29"/>
      <c r="AI23" s="29"/>
      <c r="AL23" s="13" t="s">
        <v>48</v>
      </c>
      <c r="AM23" s="13"/>
      <c r="AN23" s="13" t="s">
        <v>50</v>
      </c>
      <c r="AO23" s="13"/>
      <c r="AP23" s="13"/>
      <c r="AQ23" s="13"/>
      <c r="AR23" s="13"/>
      <c r="AS23" s="13"/>
      <c r="AT23" s="13"/>
      <c r="AU23" s="13"/>
      <c r="AV23" s="13"/>
    </row>
    <row r="24" spans="1:48" x14ac:dyDescent="0.3">
      <c r="AG24" s="31"/>
      <c r="AH24" s="29"/>
      <c r="AI24" s="29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</row>
    <row r="25" spans="1:48" ht="15" thickBot="1" x14ac:dyDescent="0.35">
      <c r="A25" s="27">
        <v>8.4</v>
      </c>
      <c r="B25" s="28">
        <v>8.1999999999999993</v>
      </c>
      <c r="C25" s="28">
        <v>6.7</v>
      </c>
      <c r="D25" s="28">
        <v>7.5</v>
      </c>
      <c r="E25" s="28">
        <v>8.1</v>
      </c>
      <c r="F25" s="28">
        <v>10</v>
      </c>
      <c r="G25" s="28">
        <v>11.9</v>
      </c>
      <c r="H25" s="28">
        <v>11.9</v>
      </c>
      <c r="I25" s="28">
        <v>11.7</v>
      </c>
      <c r="J25" s="28">
        <v>10.6</v>
      </c>
      <c r="K25" s="28">
        <v>9</v>
      </c>
      <c r="L25" s="28">
        <v>7.9</v>
      </c>
      <c r="M25" s="3">
        <v>7.3</v>
      </c>
      <c r="N25" s="3">
        <v>7.1</v>
      </c>
      <c r="O25" s="3">
        <v>7.6</v>
      </c>
      <c r="P25" s="3">
        <v>7.6</v>
      </c>
      <c r="Q25" s="3">
        <v>8.5</v>
      </c>
      <c r="R25" s="3">
        <v>9.8000000000000007</v>
      </c>
      <c r="S25" s="3">
        <v>10.9</v>
      </c>
      <c r="T25" s="3">
        <v>11.7</v>
      </c>
      <c r="U25" s="3">
        <v>11.7</v>
      </c>
      <c r="V25" s="3">
        <v>10.4</v>
      </c>
      <c r="W25" s="3">
        <v>9.6999999999999993</v>
      </c>
      <c r="X25" s="3">
        <v>8.3000000000000007</v>
      </c>
      <c r="Y25" s="3">
        <v>7.5</v>
      </c>
      <c r="Z25" s="3">
        <v>7.2</v>
      </c>
      <c r="AA25" s="3">
        <v>8.1</v>
      </c>
      <c r="AB25" s="3">
        <v>7.8</v>
      </c>
      <c r="AC25" s="3">
        <v>8.8000000000000007</v>
      </c>
      <c r="AD25" s="40">
        <v>9.1</v>
      </c>
      <c r="AE25" s="42" t="s">
        <v>59</v>
      </c>
      <c r="AF25" s="32"/>
      <c r="AG25" s="29"/>
      <c r="AH25" s="32"/>
      <c r="AI25" s="29"/>
      <c r="AL25" s="23" t="s">
        <v>58</v>
      </c>
      <c r="AM25" s="23"/>
      <c r="AN25" s="37"/>
      <c r="AO25" s="47" t="s">
        <v>52</v>
      </c>
      <c r="AP25" s="49"/>
      <c r="AQ25" s="13"/>
      <c r="AR25" s="13"/>
      <c r="AS25" s="13"/>
      <c r="AT25" s="13"/>
      <c r="AU25" s="38"/>
      <c r="AV25" s="13"/>
    </row>
    <row r="26" spans="1:48" ht="15" thickBot="1" x14ac:dyDescent="0.35">
      <c r="A26" s="28">
        <v>11.9</v>
      </c>
      <c r="B26" s="28">
        <v>11.9</v>
      </c>
      <c r="C26" s="28">
        <v>11.7</v>
      </c>
      <c r="D26" s="28">
        <v>10.6</v>
      </c>
      <c r="E26" s="28">
        <v>9</v>
      </c>
      <c r="F26" s="28">
        <v>7.9</v>
      </c>
      <c r="G26" s="3">
        <v>7.3</v>
      </c>
      <c r="H26" s="3">
        <v>7.1</v>
      </c>
      <c r="I26" s="3">
        <v>7.6</v>
      </c>
      <c r="J26" s="3">
        <v>7.6</v>
      </c>
      <c r="K26" s="3">
        <v>8.5</v>
      </c>
      <c r="L26" s="3">
        <v>9.8000000000000007</v>
      </c>
      <c r="M26" s="3">
        <v>10.9</v>
      </c>
      <c r="N26" s="3">
        <v>11.7</v>
      </c>
      <c r="O26" s="3">
        <v>11.7</v>
      </c>
      <c r="P26" s="3">
        <v>10.4</v>
      </c>
      <c r="Q26" s="3">
        <v>9.6999999999999993</v>
      </c>
      <c r="R26" s="3">
        <v>8.3000000000000007</v>
      </c>
      <c r="S26" s="3">
        <v>7.5</v>
      </c>
      <c r="T26" s="3">
        <v>7.2</v>
      </c>
      <c r="U26" s="3">
        <v>8.1</v>
      </c>
      <c r="V26" s="3">
        <v>7.8</v>
      </c>
      <c r="W26" s="3">
        <v>8.8000000000000007</v>
      </c>
      <c r="X26" s="3">
        <v>9.1</v>
      </c>
      <c r="Y26" s="3">
        <v>10.8</v>
      </c>
      <c r="Z26" s="3">
        <v>12</v>
      </c>
      <c r="AA26" s="3">
        <v>11.8</v>
      </c>
      <c r="AB26" s="3">
        <v>10</v>
      </c>
      <c r="AC26" s="3">
        <v>9.1</v>
      </c>
      <c r="AD26" s="40">
        <v>8.1999999999999993</v>
      </c>
      <c r="AE26" s="42">
        <f>CORREL(A25:AD25,A26:AD26)</f>
        <v>-0.8726561934890622</v>
      </c>
      <c r="AF26" s="32"/>
      <c r="AG26" s="29"/>
      <c r="AH26" s="32"/>
      <c r="AI26" s="29"/>
      <c r="AL26" s="45" t="s">
        <v>46</v>
      </c>
      <c r="AM26" s="44">
        <v>2.3639999999999999</v>
      </c>
      <c r="AN26" s="13"/>
      <c r="AO26" s="52">
        <f>$AF$22-$AM$21*((1-$AF$22*$AF$22)/SQRT(31))</f>
        <v>-0.95762799283173505</v>
      </c>
      <c r="AP26" s="2">
        <f>$AF$22+$AM$21*((1-$AF$22*$AF$22)/SQRT(31))</f>
        <v>-0.67433873908599606</v>
      </c>
      <c r="AQ26" s="13"/>
      <c r="AR26" s="13"/>
      <c r="AS26" s="13"/>
      <c r="AT26" s="13"/>
      <c r="AU26" s="13"/>
      <c r="AV26" s="13"/>
    </row>
    <row r="27" spans="1:48" x14ac:dyDescent="0.3">
      <c r="AE27" s="30"/>
      <c r="AF27" s="29"/>
      <c r="AG27" s="29"/>
      <c r="AH27" s="32"/>
      <c r="AI27" s="29"/>
      <c r="AL27" s="45" t="s">
        <v>47</v>
      </c>
      <c r="AM27" s="46">
        <f>-1*$AF$22*(SQRT(29)/(SQRT(1-($AF$22*$AF$22))))</f>
        <v>7.60143927181179</v>
      </c>
      <c r="AN27" s="13" t="s">
        <v>49</v>
      </c>
      <c r="AO27" s="13"/>
      <c r="AP27" s="13"/>
      <c r="AQ27" s="13"/>
      <c r="AR27" s="13"/>
      <c r="AS27" s="13"/>
      <c r="AT27" s="13"/>
      <c r="AU27" s="13"/>
      <c r="AV27" s="13"/>
    </row>
    <row r="28" spans="1:48" x14ac:dyDescent="0.3">
      <c r="AE28" s="29"/>
      <c r="AF28" s="29"/>
      <c r="AG28" s="29"/>
      <c r="AH28" s="32"/>
      <c r="AI28" s="29"/>
      <c r="AL28" s="13" t="s">
        <v>48</v>
      </c>
      <c r="AM28" s="13"/>
      <c r="AN28" s="13" t="s">
        <v>50</v>
      </c>
      <c r="AO28" s="13"/>
      <c r="AP28" s="13"/>
      <c r="AQ28" s="13"/>
      <c r="AR28" s="13"/>
      <c r="AS28" s="13"/>
      <c r="AT28" s="13"/>
      <c r="AU28" s="13"/>
      <c r="AV28" s="13"/>
    </row>
    <row r="29" spans="1:48" ht="15" thickBot="1" x14ac:dyDescent="0.35">
      <c r="A29" s="27">
        <v>8.4</v>
      </c>
      <c r="B29" s="28">
        <v>8.1999999999999993</v>
      </c>
      <c r="C29" s="28">
        <v>6.7</v>
      </c>
      <c r="D29" s="28">
        <v>7.5</v>
      </c>
      <c r="E29" s="28">
        <v>8.1</v>
      </c>
      <c r="F29" s="28">
        <v>10</v>
      </c>
      <c r="G29" s="28">
        <v>11.9</v>
      </c>
      <c r="H29" s="28">
        <v>11.9</v>
      </c>
      <c r="I29" s="28">
        <v>11.7</v>
      </c>
      <c r="J29" s="28">
        <v>10.6</v>
      </c>
      <c r="K29" s="28">
        <v>9</v>
      </c>
      <c r="L29" s="28">
        <v>7.9</v>
      </c>
      <c r="M29" s="3">
        <v>7.3</v>
      </c>
      <c r="N29" s="3">
        <v>7.1</v>
      </c>
      <c r="O29" s="3">
        <v>7.6</v>
      </c>
      <c r="P29" s="3">
        <v>7.6</v>
      </c>
      <c r="Q29" s="3">
        <v>8.5</v>
      </c>
      <c r="R29" s="3">
        <v>9.8000000000000007</v>
      </c>
      <c r="S29" s="3">
        <v>10.9</v>
      </c>
      <c r="T29" s="3">
        <v>11.7</v>
      </c>
      <c r="U29" s="3">
        <v>11.7</v>
      </c>
      <c r="V29" s="3">
        <v>10.4</v>
      </c>
      <c r="W29" s="3">
        <v>9.6999999999999993</v>
      </c>
      <c r="X29" s="3">
        <v>8.3000000000000007</v>
      </c>
      <c r="Y29" s="3">
        <v>7.5</v>
      </c>
      <c r="Z29" s="3">
        <v>7.2</v>
      </c>
      <c r="AA29" s="3">
        <v>8.1</v>
      </c>
      <c r="AB29" s="3">
        <v>7.8</v>
      </c>
      <c r="AC29" s="40">
        <v>8.8000000000000007</v>
      </c>
      <c r="AD29" s="42" t="s">
        <v>60</v>
      </c>
      <c r="AE29" s="32"/>
      <c r="AF29" s="29"/>
      <c r="AG29" s="29"/>
      <c r="AH29" s="32"/>
      <c r="AI29" s="29"/>
      <c r="AL29" s="37"/>
      <c r="AM29" s="37"/>
      <c r="AN29" s="37"/>
      <c r="AO29" s="13"/>
      <c r="AP29" s="38"/>
      <c r="AQ29" s="13"/>
      <c r="AR29" s="13"/>
      <c r="AS29" s="13"/>
      <c r="AT29" s="13"/>
      <c r="AU29" s="38"/>
      <c r="AV29" s="13"/>
    </row>
    <row r="30" spans="1:48" ht="15" thickBot="1" x14ac:dyDescent="0.35">
      <c r="A30" s="28">
        <v>11.9</v>
      </c>
      <c r="B30" s="28">
        <v>11.7</v>
      </c>
      <c r="C30" s="28">
        <v>10.6</v>
      </c>
      <c r="D30" s="28">
        <v>9</v>
      </c>
      <c r="E30" s="28">
        <v>7.9</v>
      </c>
      <c r="F30" s="3">
        <v>7.3</v>
      </c>
      <c r="G30" s="3">
        <v>7.1</v>
      </c>
      <c r="H30" s="3">
        <v>7.6</v>
      </c>
      <c r="I30" s="3">
        <v>7.6</v>
      </c>
      <c r="J30" s="3">
        <v>8.5</v>
      </c>
      <c r="K30" s="3">
        <v>9.8000000000000007</v>
      </c>
      <c r="L30" s="3">
        <v>10.9</v>
      </c>
      <c r="M30" s="3">
        <v>11.7</v>
      </c>
      <c r="N30" s="3">
        <v>11.7</v>
      </c>
      <c r="O30" s="3">
        <v>10.4</v>
      </c>
      <c r="P30" s="3">
        <v>9.6999999999999993</v>
      </c>
      <c r="Q30" s="3">
        <v>8.3000000000000007</v>
      </c>
      <c r="R30" s="3">
        <v>7.5</v>
      </c>
      <c r="S30" s="3">
        <v>7.2</v>
      </c>
      <c r="T30" s="3">
        <v>8.1</v>
      </c>
      <c r="U30" s="3">
        <v>7.8</v>
      </c>
      <c r="V30" s="3">
        <v>8.8000000000000007</v>
      </c>
      <c r="W30" s="3">
        <v>9.1</v>
      </c>
      <c r="X30" s="3">
        <v>10.8</v>
      </c>
      <c r="Y30" s="3">
        <v>12</v>
      </c>
      <c r="Z30" s="3">
        <v>11.8</v>
      </c>
      <c r="AA30" s="3">
        <v>10</v>
      </c>
      <c r="AB30" s="3">
        <v>9.1</v>
      </c>
      <c r="AC30" s="40">
        <v>8.1999999999999993</v>
      </c>
      <c r="AD30" s="42">
        <f>CORREL(A29:AC29,A30:AC30)</f>
        <v>-0.76278989862365221</v>
      </c>
      <c r="AE30" s="32"/>
      <c r="AF30" s="29"/>
      <c r="AG30" s="29"/>
      <c r="AH30" s="32"/>
      <c r="AI30" s="29"/>
      <c r="AL30" s="23" t="s">
        <v>59</v>
      </c>
      <c r="AM30" s="23"/>
      <c r="AN30" s="13"/>
      <c r="AO30" s="23" t="s">
        <v>52</v>
      </c>
      <c r="AP30" s="2"/>
      <c r="AQ30" s="13"/>
      <c r="AR30" s="13"/>
      <c r="AS30" s="13"/>
      <c r="AT30" s="13"/>
      <c r="AU30" s="13"/>
      <c r="AV30" s="13"/>
    </row>
    <row r="31" spans="1:48" x14ac:dyDescent="0.3">
      <c r="AD31" s="30"/>
      <c r="AE31" s="32"/>
      <c r="AF31" s="29"/>
      <c r="AG31" s="29"/>
      <c r="AH31" s="32"/>
      <c r="AI31" s="29"/>
      <c r="AL31" s="45" t="s">
        <v>46</v>
      </c>
      <c r="AM31" s="44">
        <v>2.3679999999999999</v>
      </c>
      <c r="AN31" s="13"/>
      <c r="AO31" s="2">
        <f>$AE$26-$AM$31*((1-$AE$26*$AE$26)/SQRT(30))</f>
        <v>-0.97575578615760428</v>
      </c>
      <c r="AP31" s="2">
        <f>$AE$26+$AM$31*((1-$AE$26*$AE$26)/SQRT(30))</f>
        <v>-0.76955660082052013</v>
      </c>
      <c r="AQ31" s="13"/>
      <c r="AR31" s="13"/>
      <c r="AS31" s="13"/>
      <c r="AT31" s="13"/>
      <c r="AU31" s="13"/>
      <c r="AV31" s="13"/>
    </row>
    <row r="32" spans="1:48" x14ac:dyDescent="0.3">
      <c r="AD32" s="29"/>
      <c r="AE32" s="32"/>
      <c r="AF32" s="29"/>
      <c r="AG32" s="29"/>
      <c r="AH32" s="32"/>
      <c r="AI32" s="29"/>
      <c r="AL32" s="45" t="s">
        <v>47</v>
      </c>
      <c r="AM32" s="46">
        <f>-1*$AE$26*(SQRT(28)/(SQRT(1-($AE$26*$AE$26))))</f>
        <v>9.4559300667099908</v>
      </c>
      <c r="AN32" s="13" t="s">
        <v>49</v>
      </c>
      <c r="AO32" s="13"/>
      <c r="AP32" s="13"/>
      <c r="AQ32" s="13"/>
      <c r="AR32" s="13"/>
      <c r="AS32" s="13"/>
      <c r="AT32" s="13"/>
      <c r="AU32" s="13"/>
      <c r="AV32" s="13"/>
    </row>
    <row r="33" spans="1:48" ht="15" thickBot="1" x14ac:dyDescent="0.35">
      <c r="A33" s="27">
        <v>8.4</v>
      </c>
      <c r="B33" s="28">
        <v>8.1999999999999993</v>
      </c>
      <c r="C33" s="28">
        <v>6.7</v>
      </c>
      <c r="D33" s="28">
        <v>7.5</v>
      </c>
      <c r="E33" s="28">
        <v>8.1</v>
      </c>
      <c r="F33" s="28">
        <v>10</v>
      </c>
      <c r="G33" s="28">
        <v>11.9</v>
      </c>
      <c r="H33" s="28">
        <v>11.9</v>
      </c>
      <c r="I33" s="28">
        <v>11.7</v>
      </c>
      <c r="J33" s="28">
        <v>10.6</v>
      </c>
      <c r="K33" s="28">
        <v>9</v>
      </c>
      <c r="L33" s="28">
        <v>7.9</v>
      </c>
      <c r="M33" s="3">
        <v>7.3</v>
      </c>
      <c r="N33" s="3">
        <v>7.1</v>
      </c>
      <c r="O33" s="3">
        <v>7.6</v>
      </c>
      <c r="P33" s="3">
        <v>7.6</v>
      </c>
      <c r="Q33" s="3">
        <v>8.5</v>
      </c>
      <c r="R33" s="3">
        <v>9.8000000000000007</v>
      </c>
      <c r="S33" s="3">
        <v>10.9</v>
      </c>
      <c r="T33" s="3">
        <v>11.7</v>
      </c>
      <c r="U33" s="3">
        <v>11.7</v>
      </c>
      <c r="V33" s="3">
        <v>10.4</v>
      </c>
      <c r="W33" s="3">
        <v>9.6999999999999993</v>
      </c>
      <c r="X33" s="3">
        <v>8.3000000000000007</v>
      </c>
      <c r="Y33" s="3">
        <v>7.5</v>
      </c>
      <c r="Z33" s="3">
        <v>7.2</v>
      </c>
      <c r="AA33" s="3">
        <v>8.1</v>
      </c>
      <c r="AB33" s="40">
        <v>7.8</v>
      </c>
      <c r="AC33" s="42" t="s">
        <v>61</v>
      </c>
      <c r="AD33" s="32"/>
      <c r="AE33" s="32"/>
      <c r="AF33" s="29"/>
      <c r="AG33" s="29"/>
      <c r="AH33" s="32"/>
      <c r="AI33" s="29"/>
      <c r="AL33" s="13" t="s">
        <v>48</v>
      </c>
      <c r="AM33" s="37"/>
      <c r="AN33" s="13" t="s">
        <v>50</v>
      </c>
      <c r="AO33" s="13"/>
      <c r="AP33" s="38"/>
      <c r="AQ33" s="13"/>
      <c r="AR33" s="13"/>
      <c r="AS33" s="13"/>
      <c r="AT33" s="13"/>
      <c r="AU33" s="38"/>
      <c r="AV33" s="13"/>
    </row>
    <row r="34" spans="1:48" ht="15" thickBot="1" x14ac:dyDescent="0.35">
      <c r="A34" s="28">
        <v>11.7</v>
      </c>
      <c r="B34" s="28">
        <v>10.6</v>
      </c>
      <c r="C34" s="28">
        <v>9</v>
      </c>
      <c r="D34" s="28">
        <v>7.9</v>
      </c>
      <c r="E34" s="3">
        <v>7.3</v>
      </c>
      <c r="F34" s="3">
        <v>7.1</v>
      </c>
      <c r="G34" s="3">
        <v>7.6</v>
      </c>
      <c r="H34" s="3">
        <v>7.6</v>
      </c>
      <c r="I34" s="3">
        <v>8.5</v>
      </c>
      <c r="J34" s="3">
        <v>9.8000000000000007</v>
      </c>
      <c r="K34" s="3">
        <v>10.9</v>
      </c>
      <c r="L34" s="3">
        <v>11.7</v>
      </c>
      <c r="M34" s="3">
        <v>11.7</v>
      </c>
      <c r="N34" s="3">
        <v>10.4</v>
      </c>
      <c r="O34" s="3">
        <v>9.6999999999999993</v>
      </c>
      <c r="P34" s="3">
        <v>8.3000000000000007</v>
      </c>
      <c r="Q34" s="3">
        <v>7.5</v>
      </c>
      <c r="R34" s="3">
        <v>7.2</v>
      </c>
      <c r="S34" s="3">
        <v>8.1</v>
      </c>
      <c r="T34" s="3">
        <v>7.8</v>
      </c>
      <c r="U34" s="3">
        <v>8.8000000000000007</v>
      </c>
      <c r="V34" s="3">
        <v>9.1</v>
      </c>
      <c r="W34" s="3">
        <v>10.8</v>
      </c>
      <c r="X34" s="3">
        <v>12</v>
      </c>
      <c r="Y34" s="3">
        <v>11.8</v>
      </c>
      <c r="Z34" s="3">
        <v>10</v>
      </c>
      <c r="AA34" s="3">
        <v>9.1</v>
      </c>
      <c r="AB34" s="40">
        <v>8.1999999999999993</v>
      </c>
      <c r="AC34" s="42">
        <f>CORREL(A33:AB33,A34:AB34)</f>
        <v>-0.43502256993602167</v>
      </c>
      <c r="AD34" s="32"/>
      <c r="AE34" s="32"/>
      <c r="AF34" s="29"/>
      <c r="AG34" s="29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</row>
    <row r="35" spans="1:48" x14ac:dyDescent="0.3">
      <c r="AD35" s="29"/>
      <c r="AE35" s="32"/>
      <c r="AF35" s="29"/>
      <c r="AG35" s="29"/>
      <c r="AL35" s="23" t="s">
        <v>60</v>
      </c>
      <c r="AM35" s="23"/>
      <c r="AN35" s="13"/>
      <c r="AO35" s="23" t="s">
        <v>52</v>
      </c>
      <c r="AP35" s="2"/>
      <c r="AQ35" s="13"/>
      <c r="AR35" s="13"/>
      <c r="AS35" s="13"/>
      <c r="AT35" s="13"/>
      <c r="AU35" s="13"/>
      <c r="AV35" s="13"/>
    </row>
    <row r="36" spans="1:48" x14ac:dyDescent="0.3">
      <c r="AD36" s="29"/>
      <c r="AE36" s="32"/>
      <c r="AF36" s="29"/>
      <c r="AG36" s="29"/>
      <c r="AL36" s="45" t="s">
        <v>46</v>
      </c>
      <c r="AM36" s="44">
        <v>2.3730000000000002</v>
      </c>
      <c r="AN36" s="13"/>
      <c r="AO36" s="2">
        <f>$AD$30-AM36*((1-$AD$30*$AD$30)/SQRT(29))</f>
        <v>-0.94705049462599877</v>
      </c>
      <c r="AP36" s="2">
        <f>$AD$30+AM36*((1-$AD$30*$AD$30)/SQRT(29))</f>
        <v>-0.57852930262130564</v>
      </c>
      <c r="AQ36" s="13"/>
      <c r="AR36" s="13"/>
      <c r="AS36" s="13"/>
      <c r="AT36" s="13"/>
      <c r="AU36" s="13"/>
      <c r="AV36" s="13"/>
    </row>
    <row r="37" spans="1:48" ht="16.2" thickBot="1" x14ac:dyDescent="0.35">
      <c r="A37" s="27">
        <v>8.4</v>
      </c>
      <c r="B37" s="28">
        <v>8.1999999999999993</v>
      </c>
      <c r="C37" s="28">
        <v>6.7</v>
      </c>
      <c r="D37" s="28">
        <v>7.5</v>
      </c>
      <c r="E37" s="28">
        <v>8.1</v>
      </c>
      <c r="F37" s="28">
        <v>10</v>
      </c>
      <c r="G37" s="28">
        <v>11.9</v>
      </c>
      <c r="H37" s="28">
        <v>11.9</v>
      </c>
      <c r="I37" s="28">
        <v>11.7</v>
      </c>
      <c r="J37" s="28">
        <v>10.6</v>
      </c>
      <c r="K37" s="28">
        <v>9</v>
      </c>
      <c r="L37" s="28">
        <v>7.9</v>
      </c>
      <c r="M37" s="3">
        <v>7.3</v>
      </c>
      <c r="N37" s="3">
        <v>7.1</v>
      </c>
      <c r="O37" s="3">
        <v>7.6</v>
      </c>
      <c r="P37" s="3">
        <v>7.6</v>
      </c>
      <c r="Q37" s="3">
        <v>8.5</v>
      </c>
      <c r="R37" s="3">
        <v>9.8000000000000007</v>
      </c>
      <c r="S37" s="3">
        <v>10.9</v>
      </c>
      <c r="T37" s="3">
        <v>11.7</v>
      </c>
      <c r="U37" s="3">
        <v>11.7</v>
      </c>
      <c r="V37" s="3">
        <v>10.4</v>
      </c>
      <c r="W37" s="3">
        <v>9.6999999999999993</v>
      </c>
      <c r="X37" s="3">
        <v>8.3000000000000007</v>
      </c>
      <c r="Y37" s="3">
        <v>7.5</v>
      </c>
      <c r="Z37" s="3">
        <v>7.2</v>
      </c>
      <c r="AA37" s="40">
        <v>8.1</v>
      </c>
      <c r="AB37" s="42" t="s">
        <v>62</v>
      </c>
      <c r="AD37" s="29"/>
      <c r="AE37" s="32"/>
      <c r="AF37" s="29"/>
      <c r="AG37" s="29"/>
      <c r="AL37" s="45" t="s">
        <v>47</v>
      </c>
      <c r="AM37" s="46">
        <f>-1*$AD$30*(SQRT(27)/(SQRT(1-($AD$30*$AD$30))))</f>
        <v>6.1294280168395714</v>
      </c>
      <c r="AN37" s="13" t="s">
        <v>49</v>
      </c>
      <c r="AO37" s="13"/>
      <c r="AP37" s="38"/>
      <c r="AQ37" s="39"/>
      <c r="AR37" s="13"/>
      <c r="AS37" s="13"/>
      <c r="AT37" s="13"/>
      <c r="AU37" s="38"/>
      <c r="AV37" s="13"/>
    </row>
    <row r="38" spans="1:48" ht="15" thickBot="1" x14ac:dyDescent="0.35">
      <c r="A38" s="28">
        <v>10.6</v>
      </c>
      <c r="B38" s="28">
        <v>9</v>
      </c>
      <c r="C38" s="28">
        <v>7.9</v>
      </c>
      <c r="D38" s="3">
        <v>7.3</v>
      </c>
      <c r="E38" s="3">
        <v>7.1</v>
      </c>
      <c r="F38" s="3">
        <v>7.6</v>
      </c>
      <c r="G38" s="3">
        <v>7.6</v>
      </c>
      <c r="H38" s="3">
        <v>8.5</v>
      </c>
      <c r="I38" s="3">
        <v>9.8000000000000007</v>
      </c>
      <c r="J38" s="3">
        <v>10.9</v>
      </c>
      <c r="K38" s="3">
        <v>11.7</v>
      </c>
      <c r="L38" s="3">
        <v>11.7</v>
      </c>
      <c r="M38" s="3">
        <v>10.4</v>
      </c>
      <c r="N38" s="3">
        <v>9.6999999999999993</v>
      </c>
      <c r="O38" s="3">
        <v>8.3000000000000007</v>
      </c>
      <c r="P38" s="3">
        <v>7.5</v>
      </c>
      <c r="Q38" s="3">
        <v>7.2</v>
      </c>
      <c r="R38" s="3">
        <v>8.1</v>
      </c>
      <c r="S38" s="3">
        <v>7.8</v>
      </c>
      <c r="T38" s="3">
        <v>8.8000000000000007</v>
      </c>
      <c r="U38" s="3">
        <v>9.1</v>
      </c>
      <c r="V38" s="3">
        <v>10.8</v>
      </c>
      <c r="W38" s="3">
        <v>12</v>
      </c>
      <c r="X38" s="3">
        <v>11.8</v>
      </c>
      <c r="Y38" s="3">
        <v>10</v>
      </c>
      <c r="Z38" s="3">
        <v>9.1</v>
      </c>
      <c r="AA38" s="40">
        <v>8.1999999999999993</v>
      </c>
      <c r="AB38" s="42">
        <f>CORREL(A37:AA37,A38:AA38)</f>
        <v>-8.7820678384337904E-3</v>
      </c>
      <c r="AD38" s="29"/>
      <c r="AL38" s="13" t="s">
        <v>48</v>
      </c>
      <c r="AM38" s="13"/>
      <c r="AN38" s="13" t="s">
        <v>50</v>
      </c>
      <c r="AO38" s="13"/>
      <c r="AP38" s="13"/>
      <c r="AQ38" s="13"/>
      <c r="AR38" s="13"/>
      <c r="AS38" s="13"/>
      <c r="AT38" s="13"/>
      <c r="AU38" s="13"/>
      <c r="AV38" s="13"/>
    </row>
    <row r="39" spans="1:48" x14ac:dyDescent="0.3"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</row>
    <row r="40" spans="1:48" x14ac:dyDescent="0.3">
      <c r="AA40" s="42"/>
      <c r="AL40" s="23" t="s">
        <v>61</v>
      </c>
      <c r="AM40" s="23"/>
      <c r="AN40" s="13"/>
      <c r="AO40" s="23" t="s">
        <v>52</v>
      </c>
      <c r="AP40" s="2"/>
      <c r="AQ40" s="13"/>
      <c r="AR40" s="13"/>
      <c r="AS40" s="13"/>
      <c r="AT40" s="13"/>
      <c r="AU40" s="13"/>
      <c r="AV40" s="13"/>
    </row>
    <row r="41" spans="1:48" ht="16.2" thickBot="1" x14ac:dyDescent="0.35">
      <c r="A41" s="27">
        <v>8.4</v>
      </c>
      <c r="B41" s="28">
        <v>8.1999999999999993</v>
      </c>
      <c r="C41" s="28">
        <v>6.7</v>
      </c>
      <c r="D41" s="28">
        <v>7.5</v>
      </c>
      <c r="E41" s="28">
        <v>8.1</v>
      </c>
      <c r="F41" s="28">
        <v>10</v>
      </c>
      <c r="G41" s="28">
        <v>11.9</v>
      </c>
      <c r="H41" s="28">
        <v>11.9</v>
      </c>
      <c r="I41" s="28">
        <v>11.7</v>
      </c>
      <c r="J41" s="28">
        <v>10.6</v>
      </c>
      <c r="K41" s="28">
        <v>9</v>
      </c>
      <c r="L41" s="28">
        <v>7.9</v>
      </c>
      <c r="M41" s="3">
        <v>7.3</v>
      </c>
      <c r="N41" s="3">
        <v>7.1</v>
      </c>
      <c r="O41" s="3">
        <v>7.6</v>
      </c>
      <c r="P41" s="3">
        <v>7.6</v>
      </c>
      <c r="Q41" s="3">
        <v>8.5</v>
      </c>
      <c r="R41" s="3">
        <v>9.8000000000000007</v>
      </c>
      <c r="S41" s="3">
        <v>10.9</v>
      </c>
      <c r="T41" s="3">
        <v>11.7</v>
      </c>
      <c r="U41" s="3">
        <v>11.7</v>
      </c>
      <c r="V41" s="3">
        <v>10.4</v>
      </c>
      <c r="W41" s="3">
        <v>9.6999999999999993</v>
      </c>
      <c r="X41" s="3">
        <v>8.3000000000000007</v>
      </c>
      <c r="Y41" s="3">
        <v>7.5</v>
      </c>
      <c r="Z41" s="40">
        <v>7.2</v>
      </c>
      <c r="AA41" s="42" t="s">
        <v>63</v>
      </c>
      <c r="AL41" s="45" t="s">
        <v>46</v>
      </c>
      <c r="AM41" s="44">
        <v>2.379</v>
      </c>
      <c r="AN41" s="37"/>
      <c r="AO41" s="2">
        <f>$AC$34-$AM$41*((1-$AC$34*$AC$34)/SQRT(28))</f>
        <v>-0.79952905284849729</v>
      </c>
      <c r="AP41" s="49">
        <f>$AC$34+$AM$41*((1-$AC$34*$AC$34)/SQRT(28))</f>
        <v>-7.0516087023546059E-2</v>
      </c>
      <c r="AQ41" s="39"/>
      <c r="AR41" s="13"/>
      <c r="AS41" s="13"/>
      <c r="AT41" s="13"/>
      <c r="AU41" s="38"/>
      <c r="AV41" s="13"/>
    </row>
    <row r="42" spans="1:48" ht="15" thickBot="1" x14ac:dyDescent="0.35">
      <c r="A42" s="28">
        <v>9</v>
      </c>
      <c r="B42" s="28">
        <v>7.9</v>
      </c>
      <c r="C42" s="3">
        <v>7.3</v>
      </c>
      <c r="D42" s="3">
        <v>7.1</v>
      </c>
      <c r="E42" s="3">
        <v>7.6</v>
      </c>
      <c r="F42" s="3">
        <v>7.6</v>
      </c>
      <c r="G42" s="3">
        <v>8.5</v>
      </c>
      <c r="H42" s="3">
        <v>9.8000000000000007</v>
      </c>
      <c r="I42" s="3">
        <v>10.9</v>
      </c>
      <c r="J42" s="3">
        <v>11.7</v>
      </c>
      <c r="K42" s="3">
        <v>11.7</v>
      </c>
      <c r="L42" s="3">
        <v>10.4</v>
      </c>
      <c r="M42" s="3">
        <v>9.6999999999999993</v>
      </c>
      <c r="N42" s="3">
        <v>8.3000000000000007</v>
      </c>
      <c r="O42" s="3">
        <v>7.5</v>
      </c>
      <c r="P42" s="3">
        <v>7.2</v>
      </c>
      <c r="Q42" s="3">
        <v>8.1</v>
      </c>
      <c r="R42" s="3">
        <v>7.8</v>
      </c>
      <c r="S42" s="3">
        <v>8.8000000000000007</v>
      </c>
      <c r="T42" s="3">
        <v>9.1</v>
      </c>
      <c r="U42" s="3">
        <v>10.8</v>
      </c>
      <c r="V42" s="3">
        <v>12</v>
      </c>
      <c r="W42" s="3">
        <v>11.8</v>
      </c>
      <c r="X42" s="3">
        <v>10</v>
      </c>
      <c r="Y42" s="3">
        <v>9.1</v>
      </c>
      <c r="Z42" s="40">
        <v>8.1999999999999993</v>
      </c>
      <c r="AA42" s="42">
        <f>CORREL(A41:Z41,A42:Z42)</f>
        <v>0.45816996353943595</v>
      </c>
      <c r="AL42" s="45" t="s">
        <v>47</v>
      </c>
      <c r="AM42" s="46">
        <f>-1*$AC$34*(SQRT(26)/(SQRT(1-($AC$34*$AC$34))))</f>
        <v>2.4635055693840622</v>
      </c>
      <c r="AN42" s="13" t="s">
        <v>49</v>
      </c>
      <c r="AO42" s="13"/>
      <c r="AP42" s="13"/>
      <c r="AQ42" s="13"/>
      <c r="AR42" s="13"/>
      <c r="AS42" s="13"/>
      <c r="AT42" s="13"/>
      <c r="AU42" s="13"/>
      <c r="AV42" s="13"/>
    </row>
    <row r="43" spans="1:48" x14ac:dyDescent="0.3">
      <c r="AL43" s="13" t="s">
        <v>48</v>
      </c>
      <c r="AM43" s="13"/>
      <c r="AN43" s="13" t="s">
        <v>50</v>
      </c>
      <c r="AO43" s="13"/>
      <c r="AP43" s="13"/>
      <c r="AQ43" s="13"/>
      <c r="AR43" s="13"/>
      <c r="AS43" s="13"/>
      <c r="AT43" s="13"/>
      <c r="AU43" s="13"/>
      <c r="AV43" s="13"/>
    </row>
    <row r="44" spans="1:48" x14ac:dyDescent="0.3"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</row>
    <row r="45" spans="1:48" ht="16.2" thickBot="1" x14ac:dyDescent="0.35">
      <c r="A45" s="27">
        <v>8.4</v>
      </c>
      <c r="B45" s="28">
        <v>8.1999999999999993</v>
      </c>
      <c r="C45" s="28">
        <v>6.7</v>
      </c>
      <c r="D45" s="28">
        <v>7.5</v>
      </c>
      <c r="E45" s="28">
        <v>8.1</v>
      </c>
      <c r="F45" s="28">
        <v>10</v>
      </c>
      <c r="G45" s="28">
        <v>11.9</v>
      </c>
      <c r="H45" s="28">
        <v>11.9</v>
      </c>
      <c r="I45" s="28">
        <v>11.7</v>
      </c>
      <c r="J45" s="28">
        <v>10.6</v>
      </c>
      <c r="K45" s="28">
        <v>9</v>
      </c>
      <c r="L45" s="28">
        <v>7.9</v>
      </c>
      <c r="M45" s="3">
        <v>7.3</v>
      </c>
      <c r="N45" s="3">
        <v>7.1</v>
      </c>
      <c r="O45" s="3">
        <v>7.6</v>
      </c>
      <c r="P45" s="3">
        <v>7.6</v>
      </c>
      <c r="Q45" s="3">
        <v>8.5</v>
      </c>
      <c r="R45" s="3">
        <v>9.8000000000000007</v>
      </c>
      <c r="S45" s="3">
        <v>10.9</v>
      </c>
      <c r="T45" s="3">
        <v>11.7</v>
      </c>
      <c r="U45" s="3">
        <v>11.7</v>
      </c>
      <c r="V45" s="3">
        <v>10.4</v>
      </c>
      <c r="W45" s="3">
        <v>9.6999999999999993</v>
      </c>
      <c r="X45" s="3">
        <v>8.3000000000000007</v>
      </c>
      <c r="Y45" s="40">
        <v>7.5</v>
      </c>
      <c r="Z45" s="42" t="s">
        <v>64</v>
      </c>
      <c r="AL45" s="23" t="s">
        <v>62</v>
      </c>
      <c r="AM45" s="23"/>
      <c r="AN45" s="37"/>
      <c r="AO45" s="23" t="s">
        <v>52</v>
      </c>
      <c r="AP45" s="2"/>
      <c r="AQ45" s="39"/>
      <c r="AR45" s="13"/>
      <c r="AS45" s="13"/>
      <c r="AT45" s="13"/>
      <c r="AU45" s="38"/>
      <c r="AV45" s="13"/>
    </row>
    <row r="46" spans="1:48" ht="15" thickBot="1" x14ac:dyDescent="0.35">
      <c r="A46" s="28">
        <v>7.9</v>
      </c>
      <c r="B46" s="3">
        <v>7.3</v>
      </c>
      <c r="C46" s="3">
        <v>7.1</v>
      </c>
      <c r="D46" s="3">
        <v>7.6</v>
      </c>
      <c r="E46" s="3">
        <v>7.6</v>
      </c>
      <c r="F46" s="3">
        <v>8.5</v>
      </c>
      <c r="G46" s="3">
        <v>9.8000000000000007</v>
      </c>
      <c r="H46" s="3">
        <v>10.9</v>
      </c>
      <c r="I46" s="3">
        <v>11.7</v>
      </c>
      <c r="J46" s="3">
        <v>11.7</v>
      </c>
      <c r="K46" s="3">
        <v>10.4</v>
      </c>
      <c r="L46" s="3">
        <v>9.6999999999999993</v>
      </c>
      <c r="M46" s="3">
        <v>8.3000000000000007</v>
      </c>
      <c r="N46" s="3">
        <v>7.5</v>
      </c>
      <c r="O46" s="3">
        <v>7.2</v>
      </c>
      <c r="P46" s="3">
        <v>8.1</v>
      </c>
      <c r="Q46" s="3">
        <v>7.8</v>
      </c>
      <c r="R46" s="3">
        <v>8.8000000000000007</v>
      </c>
      <c r="S46" s="3">
        <v>9.1</v>
      </c>
      <c r="T46" s="3">
        <v>10.8</v>
      </c>
      <c r="U46" s="3">
        <v>12</v>
      </c>
      <c r="V46" s="3">
        <v>11.8</v>
      </c>
      <c r="W46" s="3">
        <v>10</v>
      </c>
      <c r="X46" s="3">
        <v>9.1</v>
      </c>
      <c r="Y46" s="40">
        <v>8.1999999999999993</v>
      </c>
      <c r="Z46" s="42">
        <f>CORREL(A45:Y45,A46:Y46)</f>
        <v>0.80950785384260771</v>
      </c>
      <c r="AL46" s="45" t="s">
        <v>46</v>
      </c>
      <c r="AM46" s="44">
        <v>2.3849999999999998</v>
      </c>
      <c r="AN46" s="13"/>
      <c r="AO46" s="2">
        <f>$AB$38-$AM$41*((1-$AB$38*$AB$38)/SQRT(27))</f>
        <v>-0.466585520621421</v>
      </c>
      <c r="AP46" s="2">
        <f>$AB$38+$AM$41*((1-$AB$38*$AB$38)/SQRT(27))</f>
        <v>0.44902138494455346</v>
      </c>
      <c r="AQ46" s="13"/>
      <c r="AR46" s="13"/>
      <c r="AS46" s="13"/>
      <c r="AT46" s="13"/>
      <c r="AU46" s="13"/>
      <c r="AV46" s="13"/>
    </row>
    <row r="47" spans="1:48" x14ac:dyDescent="0.3">
      <c r="AC47" s="53"/>
      <c r="AD47" s="53"/>
      <c r="AE47" s="53"/>
      <c r="AF47" s="53"/>
      <c r="AG47" s="53"/>
      <c r="AH47" s="53"/>
      <c r="AI47" s="53"/>
      <c r="AL47" s="45" t="s">
        <v>47</v>
      </c>
      <c r="AM47" s="46">
        <f>-1*$AB$38*(SQRT(25)/(SQRT(1-($AB$38*$AB$38))))</f>
        <v>4.3912032576330182E-2</v>
      </c>
      <c r="AN47" s="50" t="s">
        <v>55</v>
      </c>
      <c r="AO47" s="13"/>
      <c r="AP47" s="13"/>
      <c r="AQ47" s="13"/>
      <c r="AR47" s="13"/>
      <c r="AS47" s="13"/>
      <c r="AT47" s="13"/>
      <c r="AU47" s="13"/>
      <c r="AV47" s="13"/>
    </row>
    <row r="48" spans="1:48" x14ac:dyDescent="0.3">
      <c r="AC48" s="53"/>
      <c r="AD48" s="53"/>
      <c r="AE48" s="53"/>
      <c r="AF48" s="53"/>
      <c r="AG48" s="53"/>
      <c r="AH48" s="53"/>
      <c r="AI48" s="54">
        <v>0.81135466050816696</v>
      </c>
      <c r="AL48" s="13" t="s">
        <v>54</v>
      </c>
      <c r="AM48" s="13"/>
      <c r="AN48" s="13" t="s">
        <v>56</v>
      </c>
      <c r="AO48" s="13"/>
      <c r="AP48" s="13"/>
      <c r="AQ48" s="13"/>
      <c r="AR48" s="13"/>
      <c r="AS48" s="13"/>
      <c r="AT48" s="13"/>
      <c r="AU48" s="13"/>
      <c r="AV48" s="13"/>
    </row>
    <row r="49" spans="1:48" ht="16.2" thickBot="1" x14ac:dyDescent="0.35">
      <c r="A49" s="27">
        <v>8.4</v>
      </c>
      <c r="B49" s="28">
        <v>8.1999999999999993</v>
      </c>
      <c r="C49" s="28">
        <v>6.7</v>
      </c>
      <c r="D49" s="28">
        <v>7.5</v>
      </c>
      <c r="E49" s="28">
        <v>8.1</v>
      </c>
      <c r="F49" s="28">
        <v>10</v>
      </c>
      <c r="G49" s="28">
        <v>11.9</v>
      </c>
      <c r="H49" s="28">
        <v>11.9</v>
      </c>
      <c r="I49" s="28">
        <v>11.7</v>
      </c>
      <c r="J49" s="28">
        <v>10.6</v>
      </c>
      <c r="K49" s="28">
        <v>9</v>
      </c>
      <c r="L49" s="28">
        <v>7.9</v>
      </c>
      <c r="M49" s="3">
        <v>7.3</v>
      </c>
      <c r="N49" s="3">
        <v>7.1</v>
      </c>
      <c r="O49" s="3">
        <v>7.6</v>
      </c>
      <c r="P49" s="3">
        <v>7.6</v>
      </c>
      <c r="Q49" s="3">
        <v>8.5</v>
      </c>
      <c r="R49" s="3">
        <v>9.8000000000000007</v>
      </c>
      <c r="S49" s="3">
        <v>10.9</v>
      </c>
      <c r="T49" s="3">
        <v>11.7</v>
      </c>
      <c r="U49" s="3">
        <v>11.7</v>
      </c>
      <c r="V49" s="3">
        <v>10.4</v>
      </c>
      <c r="W49" s="3">
        <v>9.6999999999999993</v>
      </c>
      <c r="X49" s="40">
        <v>8.3000000000000007</v>
      </c>
      <c r="Y49" s="42" t="s">
        <v>65</v>
      </c>
      <c r="AC49" s="53"/>
      <c r="AD49" s="53"/>
      <c r="AE49" s="53"/>
      <c r="AF49" s="53"/>
      <c r="AG49" s="53"/>
      <c r="AH49" s="53"/>
      <c r="AI49" s="54">
        <v>0.41702706713588178</v>
      </c>
      <c r="AL49" s="37"/>
      <c r="AM49" s="37"/>
      <c r="AN49" s="37"/>
      <c r="AO49" s="13"/>
      <c r="AP49" s="38"/>
      <c r="AQ49" s="39"/>
      <c r="AR49" s="13"/>
      <c r="AS49" s="13"/>
      <c r="AT49" s="13"/>
      <c r="AU49" s="38"/>
      <c r="AV49" s="13"/>
    </row>
    <row r="50" spans="1:48" x14ac:dyDescent="0.3">
      <c r="A50" s="3">
        <v>7.3</v>
      </c>
      <c r="B50" s="3">
        <v>7.1</v>
      </c>
      <c r="C50" s="3">
        <v>7.6</v>
      </c>
      <c r="D50" s="3">
        <v>7.6</v>
      </c>
      <c r="E50" s="3">
        <v>8.5</v>
      </c>
      <c r="F50" s="3">
        <v>9.8000000000000007</v>
      </c>
      <c r="G50" s="3">
        <v>10.9</v>
      </c>
      <c r="H50" s="3">
        <v>11.7</v>
      </c>
      <c r="I50" s="3">
        <v>11.7</v>
      </c>
      <c r="J50" s="3">
        <v>10.4</v>
      </c>
      <c r="K50" s="3">
        <v>9.6999999999999993</v>
      </c>
      <c r="L50" s="3">
        <v>8.3000000000000007</v>
      </c>
      <c r="M50" s="3">
        <v>7.5</v>
      </c>
      <c r="N50" s="3">
        <v>7.2</v>
      </c>
      <c r="O50" s="3">
        <v>8.1</v>
      </c>
      <c r="P50" s="3">
        <v>7.8</v>
      </c>
      <c r="Q50" s="3">
        <v>8.8000000000000007</v>
      </c>
      <c r="R50" s="3">
        <v>9.1</v>
      </c>
      <c r="S50" s="3">
        <v>10.8</v>
      </c>
      <c r="T50" s="3">
        <v>12</v>
      </c>
      <c r="U50" s="3">
        <v>11.8</v>
      </c>
      <c r="V50" s="3">
        <v>10</v>
      </c>
      <c r="W50" s="3">
        <v>9.1</v>
      </c>
      <c r="X50" s="40">
        <v>8.1999999999999993</v>
      </c>
      <c r="Y50" s="42">
        <f>CORREL(A49:X49,A50:X50)</f>
        <v>0.95068691568540098</v>
      </c>
      <c r="AC50" s="53"/>
      <c r="AD50" s="53"/>
      <c r="AE50" s="53"/>
      <c r="AF50" s="53"/>
      <c r="AG50" s="53"/>
      <c r="AH50" s="53"/>
      <c r="AI50" s="54">
        <v>-8.6302169638591664E-2</v>
      </c>
      <c r="AL50" s="23" t="s">
        <v>63</v>
      </c>
      <c r="AM50" s="23"/>
      <c r="AN50" s="13"/>
      <c r="AO50" s="23" t="s">
        <v>52</v>
      </c>
      <c r="AP50" s="2"/>
      <c r="AQ50" s="13"/>
      <c r="AR50" s="13"/>
      <c r="AS50" s="13"/>
      <c r="AT50" s="13"/>
      <c r="AU50" s="13"/>
      <c r="AV50" s="13"/>
    </row>
    <row r="51" spans="1:48" x14ac:dyDescent="0.3">
      <c r="AC51" s="53"/>
      <c r="AD51" s="53"/>
      <c r="AE51" s="53"/>
      <c r="AF51" s="53"/>
      <c r="AG51" s="53"/>
      <c r="AH51" s="53"/>
      <c r="AI51" s="54">
        <v>-0.52544407899158052</v>
      </c>
      <c r="AL51" s="45" t="s">
        <v>46</v>
      </c>
      <c r="AM51" s="44">
        <v>2.391</v>
      </c>
      <c r="AN51" s="13"/>
      <c r="AO51" s="2">
        <f>$AA$42-$AM$51*((1-$AA$42*$AA$42)/SQRT(26))</f>
        <v>8.7690510533183941E-2</v>
      </c>
      <c r="AP51" s="2">
        <f>$AA$42+$AM$51*((1-$AA$42*$AA$42)/SQRT(26))</f>
        <v>0.82864941654568791</v>
      </c>
      <c r="AQ51" s="13"/>
      <c r="AR51" s="13"/>
      <c r="AS51" s="13"/>
      <c r="AT51" s="13"/>
      <c r="AU51" s="13"/>
      <c r="AV51" s="13"/>
    </row>
    <row r="52" spans="1:48" x14ac:dyDescent="0.3">
      <c r="AC52" s="55" t="s">
        <v>43</v>
      </c>
      <c r="AD52" s="53"/>
      <c r="AE52" s="53"/>
      <c r="AF52" s="53"/>
      <c r="AG52" s="53"/>
      <c r="AH52" s="53"/>
      <c r="AI52" s="54">
        <v>-0.81598336595886556</v>
      </c>
      <c r="AL52" s="45" t="s">
        <v>47</v>
      </c>
      <c r="AM52" s="46">
        <f>$AA$42*(SQRT(24)/(SQRT(1-($AA$42*$AA$42))))</f>
        <v>2.5252048982527162</v>
      </c>
      <c r="AN52" s="13" t="s">
        <v>49</v>
      </c>
      <c r="AO52" s="13"/>
      <c r="AP52" s="13"/>
      <c r="AQ52" s="13"/>
      <c r="AR52" s="13"/>
      <c r="AS52" s="13"/>
      <c r="AT52" s="13"/>
      <c r="AU52" s="13"/>
      <c r="AV52" s="13"/>
    </row>
    <row r="53" spans="1:48" ht="16.2" thickBot="1" x14ac:dyDescent="0.35">
      <c r="A53" s="27">
        <v>8.4</v>
      </c>
      <c r="B53" s="28">
        <v>8.1999999999999993</v>
      </c>
      <c r="C53" s="28">
        <v>6.7</v>
      </c>
      <c r="D53" s="28">
        <v>7.5</v>
      </c>
      <c r="E53" s="28">
        <v>8.1</v>
      </c>
      <c r="F53" s="28">
        <v>10</v>
      </c>
      <c r="G53" s="28">
        <v>11.9</v>
      </c>
      <c r="H53" s="28">
        <v>11.9</v>
      </c>
      <c r="I53" s="28">
        <v>11.7</v>
      </c>
      <c r="J53" s="28">
        <v>10.6</v>
      </c>
      <c r="K53" s="28">
        <v>9</v>
      </c>
      <c r="L53" s="28">
        <v>7.9</v>
      </c>
      <c r="M53" s="3">
        <v>7.3</v>
      </c>
      <c r="N53" s="3">
        <v>7.1</v>
      </c>
      <c r="O53" s="3">
        <v>7.6</v>
      </c>
      <c r="P53" s="3">
        <v>7.6</v>
      </c>
      <c r="Q53" s="3">
        <v>8.5</v>
      </c>
      <c r="R53" s="3">
        <v>9.8000000000000007</v>
      </c>
      <c r="S53" s="3">
        <v>10.9</v>
      </c>
      <c r="T53" s="3">
        <v>11.7</v>
      </c>
      <c r="U53" s="3">
        <v>11.7</v>
      </c>
      <c r="V53" s="3">
        <v>10.4</v>
      </c>
      <c r="W53" s="40">
        <v>9.6999999999999993</v>
      </c>
      <c r="X53" s="42" t="s">
        <v>66</v>
      </c>
      <c r="AC53" s="56" t="s">
        <v>67</v>
      </c>
      <c r="AD53" s="53"/>
      <c r="AE53" s="53"/>
      <c r="AF53" s="53"/>
      <c r="AG53" s="53"/>
      <c r="AH53" s="53"/>
      <c r="AI53" s="54">
        <v>-0.8726561934890622</v>
      </c>
      <c r="AL53" s="13" t="s">
        <v>48</v>
      </c>
      <c r="AM53" s="37"/>
      <c r="AN53" s="13" t="s">
        <v>50</v>
      </c>
      <c r="AO53" s="13"/>
      <c r="AP53" s="38"/>
      <c r="AQ53" s="39"/>
      <c r="AR53" s="13"/>
      <c r="AS53" s="13"/>
      <c r="AT53" s="13"/>
      <c r="AU53" s="38"/>
      <c r="AV53" s="13"/>
    </row>
    <row r="54" spans="1:48" x14ac:dyDescent="0.3">
      <c r="A54" s="3">
        <v>7.1</v>
      </c>
      <c r="B54" s="3">
        <v>7.6</v>
      </c>
      <c r="C54" s="3">
        <v>7.6</v>
      </c>
      <c r="D54" s="3">
        <v>8.5</v>
      </c>
      <c r="E54" s="3">
        <v>9.8000000000000007</v>
      </c>
      <c r="F54" s="3">
        <v>10.9</v>
      </c>
      <c r="G54" s="3">
        <v>11.7</v>
      </c>
      <c r="H54" s="3">
        <v>11.7</v>
      </c>
      <c r="I54" s="3">
        <v>10.4</v>
      </c>
      <c r="J54" s="3">
        <v>9.6999999999999993</v>
      </c>
      <c r="K54" s="3">
        <v>8.3000000000000007</v>
      </c>
      <c r="L54" s="3">
        <v>7.5</v>
      </c>
      <c r="M54" s="3">
        <v>7.2</v>
      </c>
      <c r="N54" s="3">
        <v>8.1</v>
      </c>
      <c r="O54" s="3">
        <v>7.8</v>
      </c>
      <c r="P54" s="3">
        <v>8.8000000000000007</v>
      </c>
      <c r="Q54" s="3">
        <v>9.1</v>
      </c>
      <c r="R54" s="3">
        <v>10.8</v>
      </c>
      <c r="S54" s="3">
        <v>12</v>
      </c>
      <c r="T54" s="3">
        <v>11.8</v>
      </c>
      <c r="U54" s="3">
        <v>10</v>
      </c>
      <c r="V54" s="3">
        <v>9.1</v>
      </c>
      <c r="W54" s="40">
        <v>8.1999999999999993</v>
      </c>
      <c r="X54" s="42">
        <f>CORREL(A53:W53,A54:W54)</f>
        <v>0.82170632746572125</v>
      </c>
      <c r="AC54" s="53"/>
      <c r="AD54" s="53"/>
      <c r="AE54" s="53"/>
      <c r="AF54" s="53"/>
      <c r="AG54" s="53"/>
      <c r="AH54" s="53"/>
      <c r="AI54" s="54">
        <v>-0.76278989862365221</v>
      </c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</row>
    <row r="55" spans="1:48" x14ac:dyDescent="0.3">
      <c r="AC55" s="53"/>
      <c r="AD55" s="53"/>
      <c r="AE55" s="53"/>
      <c r="AF55" s="53"/>
      <c r="AG55" s="53"/>
      <c r="AH55" s="53"/>
      <c r="AI55" s="54">
        <v>-0.43502256993602167</v>
      </c>
      <c r="AL55" s="23" t="s">
        <v>64</v>
      </c>
      <c r="AM55" s="23"/>
      <c r="AN55" s="13"/>
      <c r="AO55" s="23" t="s">
        <v>52</v>
      </c>
      <c r="AP55" s="2"/>
      <c r="AQ55" s="13"/>
      <c r="AR55" s="13"/>
      <c r="AS55" s="13"/>
      <c r="AT55" s="13"/>
      <c r="AU55" s="13"/>
      <c r="AV55" s="13"/>
    </row>
    <row r="56" spans="1:48" x14ac:dyDescent="0.3">
      <c r="AI56" s="2">
        <v>-8.7820678384337904E-3</v>
      </c>
      <c r="AL56" s="45" t="s">
        <v>46</v>
      </c>
      <c r="AM56" s="44">
        <v>2.3969999999999998</v>
      </c>
      <c r="AN56" s="13"/>
      <c r="AO56" s="2">
        <f>$Z$46-$AM$56*((1-$Z$46*$Z$46)/SQRT(25))</f>
        <v>0.64426009547112306</v>
      </c>
      <c r="AP56" s="2">
        <f>$Z$46+$AM$56*((1-$Z$46*$Z$46)/SQRT(25))</f>
        <v>0.97475561221409235</v>
      </c>
      <c r="AQ56" s="13"/>
      <c r="AR56" s="13"/>
      <c r="AS56" s="13"/>
      <c r="AT56" s="13"/>
      <c r="AU56" s="13"/>
      <c r="AV56" s="13"/>
    </row>
    <row r="57" spans="1:48" ht="15" thickBot="1" x14ac:dyDescent="0.35">
      <c r="A57" s="27">
        <v>8.4</v>
      </c>
      <c r="B57" s="28">
        <v>8.1999999999999993</v>
      </c>
      <c r="C57" s="28">
        <v>6.7</v>
      </c>
      <c r="D57" s="28">
        <v>7.5</v>
      </c>
      <c r="E57" s="28">
        <v>8.1</v>
      </c>
      <c r="F57" s="28">
        <v>10</v>
      </c>
      <c r="G57" s="28">
        <v>11.9</v>
      </c>
      <c r="H57" s="28">
        <v>11.9</v>
      </c>
      <c r="I57" s="28">
        <v>11.7</v>
      </c>
      <c r="J57" s="28">
        <v>10.6</v>
      </c>
      <c r="K57" s="28">
        <v>9</v>
      </c>
      <c r="L57" s="28">
        <v>7.9</v>
      </c>
      <c r="M57" s="3">
        <v>7.3</v>
      </c>
      <c r="N57" s="3">
        <v>7.1</v>
      </c>
      <c r="O57" s="3">
        <v>7.6</v>
      </c>
      <c r="P57" s="3">
        <v>7.6</v>
      </c>
      <c r="Q57" s="3">
        <v>8.5</v>
      </c>
      <c r="R57" s="3">
        <v>9.8000000000000007</v>
      </c>
      <c r="S57" s="3">
        <v>10.9</v>
      </c>
      <c r="T57" s="3">
        <v>11.7</v>
      </c>
      <c r="U57" s="3">
        <v>11.7</v>
      </c>
      <c r="V57" s="3">
        <v>10.4</v>
      </c>
      <c r="W57" s="42" t="s">
        <v>109</v>
      </c>
      <c r="AI57" s="2">
        <v>0.45816996353943595</v>
      </c>
      <c r="AL57" s="45" t="s">
        <v>47</v>
      </c>
      <c r="AM57" s="46">
        <f>$Z$46*(SQRT(23)/(SQRT(1-($Z$46*$Z$46))))</f>
        <v>6.6125080089123225</v>
      </c>
      <c r="AN57" s="13" t="s">
        <v>49</v>
      </c>
      <c r="AO57" s="13"/>
      <c r="AP57" s="13"/>
      <c r="AQ57" s="13"/>
      <c r="AR57" s="13"/>
      <c r="AS57" s="13"/>
      <c r="AT57" s="13"/>
      <c r="AU57" s="13"/>
      <c r="AV57" s="13"/>
    </row>
    <row r="58" spans="1:48" x14ac:dyDescent="0.3">
      <c r="A58" s="3">
        <v>7.6</v>
      </c>
      <c r="B58" s="3">
        <v>7.6</v>
      </c>
      <c r="C58" s="3">
        <v>8.5</v>
      </c>
      <c r="D58" s="3">
        <v>9.8000000000000007</v>
      </c>
      <c r="E58" s="3">
        <v>10.9</v>
      </c>
      <c r="F58" s="3">
        <v>11.7</v>
      </c>
      <c r="G58" s="3">
        <v>11.7</v>
      </c>
      <c r="H58" s="3">
        <v>10.4</v>
      </c>
      <c r="I58" s="3">
        <v>9.6999999999999993</v>
      </c>
      <c r="J58" s="3">
        <v>8.3000000000000007</v>
      </c>
      <c r="K58" s="3">
        <v>7.5</v>
      </c>
      <c r="L58" s="3">
        <v>7.2</v>
      </c>
      <c r="M58" s="3">
        <v>8.1</v>
      </c>
      <c r="N58" s="3">
        <v>7.8</v>
      </c>
      <c r="O58" s="3">
        <v>8.8000000000000007</v>
      </c>
      <c r="P58" s="3">
        <v>9.1</v>
      </c>
      <c r="Q58" s="3">
        <v>10.8</v>
      </c>
      <c r="R58" s="3">
        <v>12</v>
      </c>
      <c r="S58" s="3">
        <v>11.8</v>
      </c>
      <c r="T58" s="3">
        <v>10</v>
      </c>
      <c r="U58" s="3">
        <v>9.1</v>
      </c>
      <c r="V58" s="40">
        <v>8.1999999999999993</v>
      </c>
      <c r="W58" s="42">
        <f>CORREL(A57:V57,A58:V58)</f>
        <v>0.46481572239140861</v>
      </c>
      <c r="AI58" s="2">
        <v>0.80950785384260771</v>
      </c>
      <c r="AL58" s="13" t="s">
        <v>48</v>
      </c>
      <c r="AM58" s="13"/>
      <c r="AN58" s="13" t="s">
        <v>50</v>
      </c>
      <c r="AO58" s="13"/>
      <c r="AP58" s="13"/>
      <c r="AQ58" s="13"/>
      <c r="AR58" s="13"/>
      <c r="AS58" s="13"/>
      <c r="AT58" s="13"/>
      <c r="AU58" s="13"/>
      <c r="AV58" s="13"/>
    </row>
    <row r="59" spans="1:48" x14ac:dyDescent="0.3">
      <c r="A59" s="86"/>
      <c r="B59" s="60"/>
      <c r="C59" s="60"/>
      <c r="D59" s="60"/>
      <c r="E59" s="60"/>
      <c r="F59" s="60"/>
      <c r="G59" s="60"/>
      <c r="H59" s="60"/>
      <c r="I59" s="60"/>
      <c r="J59" s="60"/>
      <c r="K59" s="60"/>
      <c r="AI59" s="2">
        <v>0.95068691568540098</v>
      </c>
    </row>
    <row r="60" spans="1:48" x14ac:dyDescent="0.3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AI60" s="2">
        <v>0.82170632746572125</v>
      </c>
      <c r="AL60" s="23" t="s">
        <v>65</v>
      </c>
      <c r="AM60" s="23"/>
      <c r="AO60" s="23" t="s">
        <v>52</v>
      </c>
      <c r="AP60" s="2"/>
    </row>
    <row r="61" spans="1:48" ht="15" thickBot="1" x14ac:dyDescent="0.35">
      <c r="AI61" s="2">
        <v>0.46481572239140861</v>
      </c>
      <c r="AL61" s="45" t="s">
        <v>46</v>
      </c>
      <c r="AM61" s="44">
        <v>2.4</v>
      </c>
      <c r="AO61" s="2">
        <f>$Y$50-$AM$61*((1-$Y$50*$Y$50)/SQRT(24))</f>
        <v>0.90356148217273125</v>
      </c>
      <c r="AP61" s="2">
        <f>$Y$50+$AM$61*((1-$Y$50*$Y$50)/SQRT(24))</f>
        <v>0.99781234919807071</v>
      </c>
    </row>
    <row r="62" spans="1:48" x14ac:dyDescent="0.3">
      <c r="A62" s="91"/>
      <c r="B62" s="87"/>
      <c r="C62" s="87"/>
      <c r="D62" s="87"/>
      <c r="E62" s="87"/>
      <c r="F62" s="87"/>
      <c r="G62" s="91"/>
      <c r="H62" s="91"/>
      <c r="I62" s="87"/>
      <c r="J62" s="90"/>
      <c r="K62" s="90"/>
      <c r="AI62" s="2">
        <v>-4.0553300739033578E-2</v>
      </c>
      <c r="AL62" s="45" t="s">
        <v>47</v>
      </c>
      <c r="AM62" s="46">
        <f>$Y$50*(SQRT(22)/(SQRT(1-($Y$50*$Y$50))))</f>
        <v>14.377189214344332</v>
      </c>
      <c r="AN62" s="13" t="s">
        <v>49</v>
      </c>
    </row>
    <row r="63" spans="1:48" x14ac:dyDescent="0.3">
      <c r="A63" s="88"/>
      <c r="B63" s="87"/>
      <c r="C63" s="87"/>
      <c r="D63" s="87"/>
      <c r="E63" s="87"/>
      <c r="F63" s="87"/>
      <c r="G63" s="88"/>
      <c r="H63" s="88"/>
      <c r="I63" s="87"/>
      <c r="J63" s="89"/>
      <c r="K63" s="89"/>
      <c r="AI63" s="2">
        <v>-0.49773710715339425</v>
      </c>
      <c r="AL63" s="13" t="s">
        <v>48</v>
      </c>
      <c r="AN63" s="13" t="s">
        <v>50</v>
      </c>
    </row>
    <row r="64" spans="1:48" ht="15" thickBot="1" x14ac:dyDescent="0.35">
      <c r="A64" s="27">
        <v>8.4</v>
      </c>
      <c r="B64" s="28">
        <v>8.1999999999999993</v>
      </c>
      <c r="C64" s="28">
        <v>6.7</v>
      </c>
      <c r="D64" s="28">
        <v>7.5</v>
      </c>
      <c r="E64" s="28">
        <v>8.1</v>
      </c>
      <c r="F64" s="28">
        <v>10</v>
      </c>
      <c r="G64" s="28">
        <v>11.9</v>
      </c>
      <c r="H64" s="28">
        <v>11.9</v>
      </c>
      <c r="I64" s="28">
        <v>11.7</v>
      </c>
      <c r="J64" s="28">
        <v>10.6</v>
      </c>
      <c r="K64" s="28">
        <v>9</v>
      </c>
      <c r="L64" s="28">
        <v>7.9</v>
      </c>
      <c r="M64" s="3">
        <v>7.3</v>
      </c>
      <c r="N64" s="3">
        <v>7.1</v>
      </c>
      <c r="O64" s="3">
        <v>7.6</v>
      </c>
      <c r="P64" s="3">
        <v>7.6</v>
      </c>
      <c r="Q64" s="3">
        <v>8.5</v>
      </c>
      <c r="R64" s="3">
        <v>9.8000000000000007</v>
      </c>
      <c r="S64" s="3">
        <v>10.9</v>
      </c>
      <c r="T64" s="3">
        <v>11.7</v>
      </c>
      <c r="U64" s="3">
        <v>11.7</v>
      </c>
      <c r="V64" s="42" t="s">
        <v>110</v>
      </c>
      <c r="AI64" s="2">
        <v>-0.80265941693186693</v>
      </c>
    </row>
    <row r="65" spans="1:42" x14ac:dyDescent="0.3">
      <c r="A65" s="3">
        <v>7.6</v>
      </c>
      <c r="B65" s="3">
        <v>8.5</v>
      </c>
      <c r="C65" s="3">
        <v>9.8000000000000007</v>
      </c>
      <c r="D65" s="3">
        <v>10.9</v>
      </c>
      <c r="E65" s="3">
        <v>11.7</v>
      </c>
      <c r="F65" s="3">
        <v>11.7</v>
      </c>
      <c r="G65" s="3">
        <v>10.4</v>
      </c>
      <c r="H65" s="3">
        <v>9.6999999999999993</v>
      </c>
      <c r="I65" s="3">
        <v>8.3000000000000007</v>
      </c>
      <c r="J65" s="3">
        <v>7.5</v>
      </c>
      <c r="K65" s="3">
        <v>7.2</v>
      </c>
      <c r="L65" s="3">
        <v>8.1</v>
      </c>
      <c r="M65" s="3">
        <v>7.8</v>
      </c>
      <c r="N65" s="3">
        <v>8.8000000000000007</v>
      </c>
      <c r="O65" s="3">
        <v>9.1</v>
      </c>
      <c r="P65" s="3">
        <v>10.8</v>
      </c>
      <c r="Q65" s="3">
        <v>12</v>
      </c>
      <c r="R65" s="3">
        <v>11.8</v>
      </c>
      <c r="S65" s="3">
        <v>10</v>
      </c>
      <c r="T65" s="3">
        <v>9.1</v>
      </c>
      <c r="U65" s="40">
        <v>8.1999999999999993</v>
      </c>
      <c r="V65" s="42">
        <f>CORREL(A64:U64,A65:U65)</f>
        <v>-4.0553300739033578E-2</v>
      </c>
      <c r="AI65" s="2">
        <v>-0.86924888713623982</v>
      </c>
      <c r="AL65" s="23" t="s">
        <v>66</v>
      </c>
      <c r="AM65" s="23"/>
      <c r="AO65" s="23" t="s">
        <v>52</v>
      </c>
      <c r="AP65" s="2"/>
    </row>
    <row r="66" spans="1:42" x14ac:dyDescent="0.3">
      <c r="AL66" s="45" t="s">
        <v>46</v>
      </c>
      <c r="AM66" s="44">
        <v>2.4</v>
      </c>
      <c r="AO66" s="2">
        <f>$X$54-$AM$66*((1-$X$54*$X$54)/SQRT(23))</f>
        <v>0.65916581627856807</v>
      </c>
      <c r="AP66" s="2">
        <f>$X$54+$AM$66*((1-$X$54*$X$54)/SQRT(23))</f>
        <v>0.98424683865287443</v>
      </c>
    </row>
    <row r="67" spans="1:42" x14ac:dyDescent="0.3">
      <c r="AL67" s="45" t="s">
        <v>47</v>
      </c>
      <c r="AM67" s="46">
        <f>$X$54*(SQRT(21)/(SQRT(1-($X$54*$X$54))))</f>
        <v>6.6072255088570921</v>
      </c>
      <c r="AN67" s="13" t="s">
        <v>49</v>
      </c>
    </row>
    <row r="68" spans="1:42" ht="15" thickBot="1" x14ac:dyDescent="0.35">
      <c r="A68" s="27">
        <v>8.4</v>
      </c>
      <c r="B68" s="28">
        <v>8.1999999999999993</v>
      </c>
      <c r="C68" s="28">
        <v>6.7</v>
      </c>
      <c r="D68" s="28">
        <v>7.5</v>
      </c>
      <c r="E68" s="28">
        <v>8.1</v>
      </c>
      <c r="F68" s="28">
        <v>10</v>
      </c>
      <c r="G68" s="28">
        <v>11.9</v>
      </c>
      <c r="H68" s="28">
        <v>11.9</v>
      </c>
      <c r="I68" s="28">
        <v>11.7</v>
      </c>
      <c r="J68" s="28">
        <v>10.6</v>
      </c>
      <c r="K68" s="28">
        <v>9</v>
      </c>
      <c r="L68" s="28">
        <v>7.9</v>
      </c>
      <c r="M68" s="3">
        <v>7.3</v>
      </c>
      <c r="N68" s="3">
        <v>7.1</v>
      </c>
      <c r="O68" s="3">
        <v>7.6</v>
      </c>
      <c r="P68" s="3">
        <v>7.6</v>
      </c>
      <c r="Q68" s="3">
        <v>8.5</v>
      </c>
      <c r="R68" s="3">
        <v>9.8000000000000007</v>
      </c>
      <c r="S68" s="3">
        <v>10.9</v>
      </c>
      <c r="T68" s="3">
        <v>11.7</v>
      </c>
      <c r="U68" s="42" t="s">
        <v>111</v>
      </c>
      <c r="AL68" s="13" t="s">
        <v>48</v>
      </c>
      <c r="AN68" s="13" t="s">
        <v>50</v>
      </c>
    </row>
    <row r="69" spans="1:42" x14ac:dyDescent="0.3">
      <c r="A69" s="3">
        <v>8.5</v>
      </c>
      <c r="B69" s="3">
        <v>9.8000000000000007</v>
      </c>
      <c r="C69" s="3">
        <v>10.9</v>
      </c>
      <c r="D69" s="3">
        <v>11.7</v>
      </c>
      <c r="E69" s="3">
        <v>11.7</v>
      </c>
      <c r="F69" s="3">
        <v>10.4</v>
      </c>
      <c r="G69" s="3">
        <v>9.6999999999999993</v>
      </c>
      <c r="H69" s="3">
        <v>8.3000000000000007</v>
      </c>
      <c r="I69" s="3">
        <v>7.5</v>
      </c>
      <c r="J69" s="3">
        <v>7.2</v>
      </c>
      <c r="K69" s="3">
        <v>8.1</v>
      </c>
      <c r="L69" s="3">
        <v>7.8</v>
      </c>
      <c r="M69" s="3">
        <v>8.8000000000000007</v>
      </c>
      <c r="N69" s="3">
        <v>9.1</v>
      </c>
      <c r="O69" s="3">
        <v>10.8</v>
      </c>
      <c r="P69" s="3">
        <v>12</v>
      </c>
      <c r="Q69" s="3">
        <v>11.8</v>
      </c>
      <c r="R69" s="3">
        <v>10</v>
      </c>
      <c r="S69" s="3">
        <v>9.1</v>
      </c>
      <c r="T69" s="40">
        <v>8.1999999999999993</v>
      </c>
      <c r="U69" s="42">
        <f>CORREL(A68:T68,A69:T69)</f>
        <v>-0.49773710715339425</v>
      </c>
    </row>
    <row r="70" spans="1:42" x14ac:dyDescent="0.3">
      <c r="AK70" s="13"/>
      <c r="AL70" s="13"/>
      <c r="AM70" s="13"/>
      <c r="AN70" s="13"/>
      <c r="AO70" s="13"/>
    </row>
    <row r="71" spans="1:42" x14ac:dyDescent="0.3">
      <c r="AK71" s="13"/>
      <c r="AL71" s="85"/>
      <c r="AM71" s="85"/>
      <c r="AN71" s="13"/>
      <c r="AO71" s="13"/>
    </row>
    <row r="72" spans="1:42" ht="15" thickBot="1" x14ac:dyDescent="0.35">
      <c r="A72" s="27">
        <v>8.4</v>
      </c>
      <c r="B72" s="28">
        <v>8.1999999999999993</v>
      </c>
      <c r="C72" s="28">
        <v>6.7</v>
      </c>
      <c r="D72" s="28">
        <v>7.5</v>
      </c>
      <c r="E72" s="28">
        <v>8.1</v>
      </c>
      <c r="F72" s="28">
        <v>10</v>
      </c>
      <c r="G72" s="28">
        <v>11.9</v>
      </c>
      <c r="H72" s="28">
        <v>11.9</v>
      </c>
      <c r="I72" s="28">
        <v>11.7</v>
      </c>
      <c r="J72" s="28">
        <v>10.6</v>
      </c>
      <c r="K72" s="28">
        <v>9</v>
      </c>
      <c r="L72" s="28">
        <v>7.9</v>
      </c>
      <c r="M72" s="3">
        <v>7.3</v>
      </c>
      <c r="N72" s="3">
        <v>7.1</v>
      </c>
      <c r="O72" s="3">
        <v>7.6</v>
      </c>
      <c r="P72" s="3">
        <v>7.6</v>
      </c>
      <c r="Q72" s="3">
        <v>8.5</v>
      </c>
      <c r="R72" s="3">
        <v>9.8000000000000007</v>
      </c>
      <c r="S72" s="3">
        <v>10.9</v>
      </c>
      <c r="T72" s="42" t="s">
        <v>112</v>
      </c>
      <c r="AK72" s="13"/>
      <c r="AL72" s="92"/>
      <c r="AM72" s="43"/>
      <c r="AN72" s="13"/>
      <c r="AO72" s="13"/>
    </row>
    <row r="73" spans="1:42" x14ac:dyDescent="0.3">
      <c r="A73" s="3">
        <v>9.8000000000000007</v>
      </c>
      <c r="B73" s="3">
        <v>10.9</v>
      </c>
      <c r="C73" s="3">
        <v>11.7</v>
      </c>
      <c r="D73" s="3">
        <v>11.7</v>
      </c>
      <c r="E73" s="3">
        <v>10.4</v>
      </c>
      <c r="F73" s="3">
        <v>9.6999999999999993</v>
      </c>
      <c r="G73" s="3">
        <v>8.3000000000000007</v>
      </c>
      <c r="H73" s="3">
        <v>7.5</v>
      </c>
      <c r="I73" s="3">
        <v>7.2</v>
      </c>
      <c r="J73" s="3">
        <v>8.1</v>
      </c>
      <c r="K73" s="3">
        <v>7.8</v>
      </c>
      <c r="L73" s="3">
        <v>8.8000000000000007</v>
      </c>
      <c r="M73" s="3">
        <v>9.1</v>
      </c>
      <c r="N73" s="3">
        <v>10.8</v>
      </c>
      <c r="O73" s="3">
        <v>12</v>
      </c>
      <c r="P73" s="3">
        <v>11.8</v>
      </c>
      <c r="Q73" s="3">
        <v>10</v>
      </c>
      <c r="R73" s="3">
        <v>9.1</v>
      </c>
      <c r="S73" s="40">
        <v>8.1999999999999993</v>
      </c>
      <c r="T73" s="42">
        <f>CORREL(A72:S72,A73:S73)</f>
        <v>-0.80265941693186693</v>
      </c>
      <c r="AK73" s="13"/>
      <c r="AL73" s="92"/>
      <c r="AM73" s="93"/>
      <c r="AN73" s="13"/>
      <c r="AO73" s="13"/>
    </row>
    <row r="74" spans="1:42" x14ac:dyDescent="0.3">
      <c r="AK74" s="13"/>
      <c r="AL74" s="13"/>
      <c r="AM74" s="13"/>
      <c r="AN74" s="13"/>
      <c r="AO74" s="13"/>
    </row>
    <row r="75" spans="1:42" x14ac:dyDescent="0.3">
      <c r="AK75" s="13"/>
      <c r="AL75" s="13"/>
      <c r="AM75" s="13"/>
      <c r="AN75" s="13"/>
      <c r="AO75" s="13"/>
    </row>
    <row r="76" spans="1:42" ht="15" thickBot="1" x14ac:dyDescent="0.35">
      <c r="A76" s="27">
        <v>8.4</v>
      </c>
      <c r="B76" s="28">
        <v>8.1999999999999993</v>
      </c>
      <c r="C76" s="28">
        <v>6.7</v>
      </c>
      <c r="D76" s="28">
        <v>7.5</v>
      </c>
      <c r="E76" s="28">
        <v>8.1</v>
      </c>
      <c r="F76" s="28">
        <v>10</v>
      </c>
      <c r="G76" s="28">
        <v>11.9</v>
      </c>
      <c r="H76" s="28">
        <v>11.9</v>
      </c>
      <c r="I76" s="28">
        <v>11.7</v>
      </c>
      <c r="J76" s="28">
        <v>10.6</v>
      </c>
      <c r="K76" s="28">
        <v>9</v>
      </c>
      <c r="L76" s="28">
        <v>7.9</v>
      </c>
      <c r="M76" s="3">
        <v>7.3</v>
      </c>
      <c r="N76" s="3">
        <v>7.1</v>
      </c>
      <c r="O76" s="3">
        <v>7.6</v>
      </c>
      <c r="P76" s="3">
        <v>7.6</v>
      </c>
      <c r="Q76" s="3">
        <v>8.5</v>
      </c>
      <c r="R76" s="3">
        <v>9.8000000000000007</v>
      </c>
      <c r="S76" s="42" t="s">
        <v>113</v>
      </c>
      <c r="AH76" s="43"/>
    </row>
    <row r="77" spans="1:42" x14ac:dyDescent="0.3">
      <c r="A77" s="3">
        <v>10.9</v>
      </c>
      <c r="B77" s="3">
        <v>11.7</v>
      </c>
      <c r="C77" s="3">
        <v>11.7</v>
      </c>
      <c r="D77" s="3">
        <v>10.4</v>
      </c>
      <c r="E77" s="3">
        <v>9.6999999999999993</v>
      </c>
      <c r="F77" s="3">
        <v>8.3000000000000007</v>
      </c>
      <c r="G77" s="3">
        <v>7.5</v>
      </c>
      <c r="H77" s="3">
        <v>7.2</v>
      </c>
      <c r="I77" s="3">
        <v>8.1</v>
      </c>
      <c r="J77" s="3">
        <v>7.8</v>
      </c>
      <c r="K77" s="3">
        <v>8.8000000000000007</v>
      </c>
      <c r="L77" s="3">
        <v>9.1</v>
      </c>
      <c r="M77" s="3">
        <v>10.8</v>
      </c>
      <c r="N77" s="3">
        <v>12</v>
      </c>
      <c r="O77" s="3">
        <v>11.8</v>
      </c>
      <c r="P77" s="3">
        <v>10</v>
      </c>
      <c r="Q77" s="3">
        <v>9.1</v>
      </c>
      <c r="R77" s="40">
        <v>8.1999999999999993</v>
      </c>
      <c r="S77" s="42">
        <f>CORREL(A76:R76,A77:R77)</f>
        <v>-0.86924888713623982</v>
      </c>
    </row>
    <row r="81" spans="1:11" x14ac:dyDescent="0.3">
      <c r="A81" s="94" t="s">
        <v>114</v>
      </c>
      <c r="B81" s="5" t="s">
        <v>101</v>
      </c>
    </row>
    <row r="82" spans="1:11" x14ac:dyDescent="0.3">
      <c r="A82" s="20"/>
      <c r="B82" s="75" t="s">
        <v>68</v>
      </c>
      <c r="C82" s="75" t="s">
        <v>102</v>
      </c>
      <c r="D82" s="75" t="s">
        <v>103</v>
      </c>
      <c r="E82" s="75" t="s">
        <v>104</v>
      </c>
      <c r="F82" s="75" t="s">
        <v>105</v>
      </c>
    </row>
    <row r="83" spans="1:11" x14ac:dyDescent="0.3">
      <c r="A83" s="76" t="s">
        <v>106</v>
      </c>
      <c r="B83" s="20">
        <v>1</v>
      </c>
      <c r="C83" s="20">
        <f>AI48</f>
        <v>0.81135466050816696</v>
      </c>
      <c r="D83" s="20">
        <v>2.3290000000000002</v>
      </c>
      <c r="E83" s="20">
        <f>1/(36-1-C83)^(1/2)</f>
        <v>0.17102478513676875</v>
      </c>
      <c r="F83" s="20">
        <f>D83*E83</f>
        <v>0.39831672458353445</v>
      </c>
      <c r="G83" s="77" t="s">
        <v>107</v>
      </c>
      <c r="H83" s="77"/>
      <c r="I83" s="78"/>
      <c r="J83" s="79" t="s">
        <v>108</v>
      </c>
      <c r="K83" s="80"/>
    </row>
    <row r="84" spans="1:11" x14ac:dyDescent="0.3">
      <c r="A84" s="81"/>
      <c r="B84" s="20">
        <v>18</v>
      </c>
      <c r="C84" s="20">
        <f>AI65</f>
        <v>-0.86924888713623982</v>
      </c>
      <c r="D84" s="20">
        <v>2.11</v>
      </c>
      <c r="E84" s="20">
        <f>1/(36-1-C84)^(1/2)</f>
        <v>0.16697015823587252</v>
      </c>
      <c r="F84" s="20">
        <f>D84*E84</f>
        <v>0.35230703387769102</v>
      </c>
      <c r="G84" s="77" t="s">
        <v>107</v>
      </c>
      <c r="H84" s="77"/>
      <c r="I84" s="82"/>
      <c r="J84" s="83"/>
      <c r="K84" s="84"/>
    </row>
  </sheetData>
  <mergeCells count="11">
    <mergeCell ref="G63:H63"/>
    <mergeCell ref="J62:K63"/>
    <mergeCell ref="G62:H62"/>
    <mergeCell ref="A62:A63"/>
    <mergeCell ref="A83:A84"/>
    <mergeCell ref="G83:H83"/>
    <mergeCell ref="J83:K84"/>
    <mergeCell ref="G84:H84"/>
    <mergeCell ref="A1:L1"/>
    <mergeCell ref="M1:X1"/>
    <mergeCell ref="Y1:AJ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85" zoomScaleNormal="85" workbookViewId="0">
      <selection activeCell="D6" sqref="D6"/>
    </sheetView>
  </sheetViews>
  <sheetFormatPr defaultRowHeight="14.4" x14ac:dyDescent="0.3"/>
  <cols>
    <col min="3" max="3" width="15.77734375" customWidth="1"/>
    <col min="5" max="5" width="15.109375" customWidth="1"/>
    <col min="6" max="6" width="31.5546875" customWidth="1"/>
    <col min="9" max="9" width="13.33203125" customWidth="1"/>
  </cols>
  <sheetData>
    <row r="1" spans="1:17" ht="72" x14ac:dyDescent="0.3">
      <c r="A1" s="69" t="s">
        <v>68</v>
      </c>
      <c r="B1" s="70" t="s">
        <v>94</v>
      </c>
      <c r="C1" s="70" t="s">
        <v>95</v>
      </c>
      <c r="D1" s="72" t="s">
        <v>96</v>
      </c>
      <c r="E1" s="70" t="s">
        <v>97</v>
      </c>
      <c r="F1" s="70" t="s">
        <v>98</v>
      </c>
      <c r="I1" s="69">
        <v>2016</v>
      </c>
      <c r="J1" s="69">
        <v>2017</v>
      </c>
      <c r="K1" s="69">
        <v>2018</v>
      </c>
      <c r="L1" s="70" t="s">
        <v>99</v>
      </c>
      <c r="M1" s="69" t="s">
        <v>80</v>
      </c>
    </row>
    <row r="2" spans="1:17" x14ac:dyDescent="0.3">
      <c r="A2" s="20">
        <v>1</v>
      </c>
      <c r="B2" s="21">
        <v>8.4</v>
      </c>
      <c r="C2" s="2"/>
      <c r="D2" s="58"/>
      <c r="E2" s="64">
        <f>B2-M2</f>
        <v>-0.82083333333333108</v>
      </c>
      <c r="F2" s="64">
        <f>ABS(B2-E2)/B2</f>
        <v>1.0977182539682537</v>
      </c>
      <c r="I2" s="64"/>
      <c r="J2" s="64">
        <v>9.1791666666666654</v>
      </c>
      <c r="K2" s="64">
        <v>9.2624999999999993</v>
      </c>
      <c r="L2" s="68">
        <f>AVERAGE(J2:K2)</f>
        <v>9.2208333333333314</v>
      </c>
      <c r="M2" s="68">
        <f>L2-$L$165</f>
        <v>9.2208333333333314</v>
      </c>
    </row>
    <row r="3" spans="1:17" x14ac:dyDescent="0.3">
      <c r="A3" s="20">
        <v>2</v>
      </c>
      <c r="B3" s="21">
        <v>8.1999999999999993</v>
      </c>
      <c r="C3" s="2"/>
      <c r="D3" s="58"/>
      <c r="E3" s="64">
        <f t="shared" ref="E2:E13" si="0">B3-M3</f>
        <v>-1.0562499999999986</v>
      </c>
      <c r="F3" s="64">
        <f t="shared" ref="F3:F37" si="1">ABS(B3-E3)/B3</f>
        <v>1.128810975609756</v>
      </c>
      <c r="I3" s="64"/>
      <c r="J3" s="64">
        <v>9.2208333333333314</v>
      </c>
      <c r="K3" s="64">
        <v>9.2916666666666661</v>
      </c>
      <c r="L3" s="68">
        <f>AVERAGE(J3:K3)</f>
        <v>9.2562499999999979</v>
      </c>
      <c r="M3" s="68">
        <f>L3-$L$165</f>
        <v>9.2562499999999979</v>
      </c>
    </row>
    <row r="4" spans="1:17" ht="27" customHeight="1" x14ac:dyDescent="0.3">
      <c r="A4" s="20">
        <v>3</v>
      </c>
      <c r="B4" s="21">
        <v>6.7</v>
      </c>
      <c r="C4" s="2"/>
      <c r="D4" s="58"/>
      <c r="E4" s="64">
        <f t="shared" si="0"/>
        <v>-2.5770833333333316</v>
      </c>
      <c r="F4" s="64">
        <f t="shared" si="1"/>
        <v>1.3846393034825868</v>
      </c>
      <c r="I4" s="64"/>
      <c r="J4" s="64">
        <v>9.2416666666666636</v>
      </c>
      <c r="K4" s="64">
        <v>9.3125</v>
      </c>
      <c r="L4" s="68">
        <f t="shared" ref="L3:L11" si="2">AVERAGE(J4:K4)</f>
        <v>9.2770833333333318</v>
      </c>
      <c r="M4" s="68">
        <f t="shared" ref="M2:M13" si="3">L4-$L$165</f>
        <v>9.2770833333333318</v>
      </c>
    </row>
    <row r="5" spans="1:17" x14ac:dyDescent="0.3">
      <c r="A5" s="20">
        <v>4</v>
      </c>
      <c r="B5" s="21">
        <v>7.5</v>
      </c>
      <c r="C5" s="2"/>
      <c r="D5" s="58"/>
      <c r="E5" s="64">
        <f t="shared" si="0"/>
        <v>-1.7729166666666636</v>
      </c>
      <c r="F5" s="64">
        <f t="shared" si="1"/>
        <v>1.2363888888888885</v>
      </c>
      <c r="I5" s="64"/>
      <c r="J5" s="64">
        <v>9.2499999999999982</v>
      </c>
      <c r="K5" s="64">
        <v>9.2958333333333307</v>
      </c>
      <c r="L5" s="68">
        <f t="shared" si="2"/>
        <v>9.2729166666666636</v>
      </c>
      <c r="M5" s="68">
        <f t="shared" si="3"/>
        <v>9.2729166666666636</v>
      </c>
    </row>
    <row r="6" spans="1:17" ht="36" customHeight="1" x14ac:dyDescent="0.3">
      <c r="A6" s="20">
        <v>5</v>
      </c>
      <c r="B6" s="21">
        <v>8.1</v>
      </c>
      <c r="C6" s="2"/>
      <c r="D6" s="58"/>
      <c r="E6" s="64">
        <f t="shared" si="0"/>
        <v>-1.1312499999999996</v>
      </c>
      <c r="F6" s="64">
        <f t="shared" si="1"/>
        <v>1.1396604938271604</v>
      </c>
      <c r="G6" s="13"/>
      <c r="H6" s="13"/>
      <c r="I6" s="64"/>
      <c r="J6" s="64">
        <v>9.1999999999999993</v>
      </c>
      <c r="K6" s="64">
        <v>9.2624999999999975</v>
      </c>
      <c r="L6" s="68">
        <f t="shared" si="2"/>
        <v>9.2312499999999993</v>
      </c>
      <c r="M6" s="68">
        <f t="shared" si="3"/>
        <v>9.2312499999999993</v>
      </c>
      <c r="N6" s="13"/>
      <c r="O6" s="13"/>
      <c r="P6" s="13"/>
      <c r="Q6" s="13"/>
    </row>
    <row r="7" spans="1:17" x14ac:dyDescent="0.3">
      <c r="A7" s="20">
        <v>6</v>
      </c>
      <c r="B7" s="21">
        <v>10</v>
      </c>
      <c r="C7" s="2"/>
      <c r="D7" s="58"/>
      <c r="E7" s="64">
        <f t="shared" si="0"/>
        <v>0.78958333333333286</v>
      </c>
      <c r="F7" s="64">
        <f t="shared" si="1"/>
        <v>0.92104166666666676</v>
      </c>
      <c r="G7" s="13"/>
      <c r="H7" s="13"/>
      <c r="I7" s="64"/>
      <c r="J7" s="64">
        <v>9.15</v>
      </c>
      <c r="K7" s="64">
        <v>9.2708333333333321</v>
      </c>
      <c r="L7" s="68">
        <f t="shared" si="2"/>
        <v>9.2104166666666671</v>
      </c>
      <c r="M7" s="68">
        <f t="shared" si="3"/>
        <v>9.2104166666666671</v>
      </c>
      <c r="N7" s="13"/>
      <c r="O7" s="13"/>
      <c r="P7" s="13"/>
      <c r="Q7" s="13"/>
    </row>
    <row r="8" spans="1:17" x14ac:dyDescent="0.3">
      <c r="A8" s="20">
        <v>7</v>
      </c>
      <c r="B8" s="21">
        <v>11.9</v>
      </c>
      <c r="C8" s="2"/>
      <c r="D8" s="58"/>
      <c r="E8" s="64">
        <f t="shared" si="0"/>
        <v>2.6854166666666668</v>
      </c>
      <c r="F8" s="64">
        <f t="shared" si="1"/>
        <v>0.77433473389355745</v>
      </c>
      <c r="G8" s="13"/>
      <c r="H8" s="13"/>
      <c r="I8" s="64"/>
      <c r="J8" s="64">
        <v>9.1416666666666675</v>
      </c>
      <c r="K8" s="64">
        <v>9.2874999999999996</v>
      </c>
      <c r="L8" s="68">
        <f t="shared" si="2"/>
        <v>9.2145833333333336</v>
      </c>
      <c r="M8" s="68">
        <f t="shared" si="3"/>
        <v>9.2145833333333336</v>
      </c>
      <c r="N8" s="13"/>
      <c r="O8" s="13"/>
      <c r="P8" s="13"/>
      <c r="Q8" s="13"/>
    </row>
    <row r="9" spans="1:17" x14ac:dyDescent="0.3">
      <c r="A9" s="20">
        <v>8</v>
      </c>
      <c r="B9" s="21">
        <v>11.9</v>
      </c>
      <c r="C9" s="2"/>
      <c r="D9" s="58"/>
      <c r="E9" s="64">
        <f t="shared" si="0"/>
        <v>2.6958333333333346</v>
      </c>
      <c r="F9" s="64">
        <f t="shared" si="1"/>
        <v>0.77345938375350132</v>
      </c>
      <c r="G9" s="13"/>
      <c r="H9" s="13"/>
      <c r="I9" s="64"/>
      <c r="J9" s="64">
        <v>9.1333333333333346</v>
      </c>
      <c r="K9" s="64">
        <v>9.2749999999999986</v>
      </c>
      <c r="L9" s="68">
        <f t="shared" si="2"/>
        <v>9.2041666666666657</v>
      </c>
      <c r="M9" s="68">
        <f t="shared" si="3"/>
        <v>9.2041666666666657</v>
      </c>
      <c r="N9" s="13"/>
      <c r="O9" s="13"/>
      <c r="P9" s="13"/>
      <c r="Q9" s="13"/>
    </row>
    <row r="10" spans="1:17" x14ac:dyDescent="0.3">
      <c r="A10" s="20">
        <v>9</v>
      </c>
      <c r="B10" s="21">
        <v>11.7</v>
      </c>
      <c r="C10" s="2"/>
      <c r="D10" s="58"/>
      <c r="E10" s="64">
        <f t="shared" si="0"/>
        <v>2.5062499999999979</v>
      </c>
      <c r="F10" s="64">
        <f t="shared" si="1"/>
        <v>0.7857905982905985</v>
      </c>
      <c r="G10" s="13"/>
      <c r="H10" s="13"/>
      <c r="I10" s="64"/>
      <c r="J10" s="64">
        <v>9.1541666666666686</v>
      </c>
      <c r="K10" s="64">
        <v>9.2333333333333343</v>
      </c>
      <c r="L10" s="68">
        <f t="shared" si="2"/>
        <v>9.1937500000000014</v>
      </c>
      <c r="M10" s="68">
        <f t="shared" si="3"/>
        <v>9.1937500000000014</v>
      </c>
      <c r="N10" s="13"/>
      <c r="O10" s="13"/>
      <c r="P10" s="13"/>
      <c r="Q10" s="13"/>
    </row>
    <row r="11" spans="1:17" x14ac:dyDescent="0.3">
      <c r="A11" s="20">
        <v>10</v>
      </c>
      <c r="B11" s="21">
        <v>10.6</v>
      </c>
      <c r="C11" s="2"/>
      <c r="D11" s="58"/>
      <c r="E11" s="64">
        <f t="shared" si="0"/>
        <v>1.3979166666666654</v>
      </c>
      <c r="F11" s="64">
        <f t="shared" si="1"/>
        <v>0.86812106918239007</v>
      </c>
      <c r="G11" s="13"/>
      <c r="H11" s="13"/>
      <c r="I11" s="64"/>
      <c r="J11" s="64">
        <v>9.2000000000000011</v>
      </c>
      <c r="K11" s="64">
        <v>9.2041666666666657</v>
      </c>
      <c r="L11" s="68">
        <f t="shared" si="2"/>
        <v>9.2020833333333343</v>
      </c>
      <c r="M11" s="68">
        <f t="shared" si="3"/>
        <v>9.2020833333333343</v>
      </c>
      <c r="N11" s="13"/>
      <c r="O11" s="13"/>
      <c r="P11" s="13"/>
      <c r="Q11" s="13"/>
    </row>
    <row r="12" spans="1:17" x14ac:dyDescent="0.3">
      <c r="A12" s="20">
        <v>11</v>
      </c>
      <c r="B12" s="21">
        <v>9</v>
      </c>
      <c r="C12" s="66">
        <f>AVERAGE(B2:B13)</f>
        <v>9.3250000000000011</v>
      </c>
      <c r="D12" s="67">
        <f>AVERAGE(C12:C13)</f>
        <v>9.2791666666666668</v>
      </c>
      <c r="E12" s="64">
        <f t="shared" si="0"/>
        <v>-0.25208333333333321</v>
      </c>
      <c r="F12" s="64">
        <f t="shared" si="1"/>
        <v>1.0280092592592593</v>
      </c>
      <c r="G12" s="13"/>
      <c r="H12" s="13"/>
      <c r="I12" s="64">
        <v>9.2791666666666668</v>
      </c>
      <c r="J12" s="64">
        <v>9.2249999999999996</v>
      </c>
      <c r="K12" s="64"/>
      <c r="L12" s="68">
        <f>AVERAGE(I12:J12)</f>
        <v>9.2520833333333332</v>
      </c>
      <c r="M12" s="68">
        <f t="shared" si="3"/>
        <v>9.2520833333333332</v>
      </c>
      <c r="N12" s="13"/>
      <c r="O12" s="13"/>
      <c r="P12" s="13"/>
      <c r="Q12" s="13"/>
    </row>
    <row r="13" spans="1:17" x14ac:dyDescent="0.3">
      <c r="A13" s="20">
        <v>12</v>
      </c>
      <c r="B13" s="21">
        <v>7.9</v>
      </c>
      <c r="C13" s="66">
        <f>AVERAGE(B3:B14)</f>
        <v>9.2333333333333325</v>
      </c>
      <c r="D13" s="58">
        <f>AVERAGE(C13:C14)</f>
        <v>9.1875</v>
      </c>
      <c r="E13" s="64">
        <f t="shared" si="0"/>
        <v>-1.3125</v>
      </c>
      <c r="F13" s="64">
        <f t="shared" si="1"/>
        <v>1.1661392405063291</v>
      </c>
      <c r="G13" s="13"/>
      <c r="H13" s="13"/>
      <c r="I13" s="64">
        <v>9.1875</v>
      </c>
      <c r="J13" s="64">
        <v>9.2375000000000007</v>
      </c>
      <c r="K13" s="64"/>
      <c r="L13" s="68">
        <f>AVERAGE(I13:J13)</f>
        <v>9.2125000000000004</v>
      </c>
      <c r="M13" s="68">
        <f t="shared" si="3"/>
        <v>9.2125000000000004</v>
      </c>
      <c r="N13" s="13"/>
      <c r="O13" s="13"/>
      <c r="P13" s="13"/>
      <c r="Q13" s="13"/>
    </row>
    <row r="14" spans="1:17" x14ac:dyDescent="0.3">
      <c r="A14" s="20">
        <v>13</v>
      </c>
      <c r="B14" s="21">
        <v>7.3</v>
      </c>
      <c r="C14" s="66">
        <f>AVERAGE(B4:B15)</f>
        <v>9.1416666666666657</v>
      </c>
      <c r="D14" s="58">
        <f t="shared" ref="D14:D34" si="4">AVERAGE(C14:C15)</f>
        <v>9.1791666666666654</v>
      </c>
      <c r="E14" s="64">
        <f t="shared" ref="E14:E25" si="5">B14-M2</f>
        <v>-1.9208333333333316</v>
      </c>
      <c r="F14" s="64">
        <f t="shared" si="1"/>
        <v>1.2631278538812782</v>
      </c>
      <c r="G14" s="13"/>
      <c r="H14" s="13"/>
      <c r="L14" s="52">
        <f>SUM(L2:L13)</f>
        <v>110.74791666666665</v>
      </c>
      <c r="M14" s="68">
        <f>SUM(M2:M13)</f>
        <v>110.74791666666665</v>
      </c>
      <c r="N14" s="13"/>
      <c r="O14" s="13"/>
      <c r="P14" s="13"/>
      <c r="Q14" s="13"/>
    </row>
    <row r="15" spans="1:17" x14ac:dyDescent="0.3">
      <c r="A15" s="20">
        <v>14</v>
      </c>
      <c r="B15" s="21">
        <v>7.1</v>
      </c>
      <c r="C15" s="66">
        <f>AVERAGE(B5:B16)</f>
        <v>9.216666666666665</v>
      </c>
      <c r="D15" s="58">
        <f t="shared" si="4"/>
        <v>9.2208333333333314</v>
      </c>
      <c r="E15" s="64">
        <f t="shared" si="5"/>
        <v>-2.1562499999999982</v>
      </c>
      <c r="F15" s="64">
        <f t="shared" si="1"/>
        <v>1.3036971830985913</v>
      </c>
      <c r="G15" s="13"/>
      <c r="H15" s="13"/>
      <c r="L15" s="71">
        <f>L14/12</f>
        <v>9.2289930555555539</v>
      </c>
      <c r="N15" s="13"/>
      <c r="O15" s="13"/>
      <c r="P15" s="13"/>
      <c r="Q15" s="13"/>
    </row>
    <row r="16" spans="1:17" x14ac:dyDescent="0.3">
      <c r="A16" s="20">
        <v>15</v>
      </c>
      <c r="B16" s="21">
        <v>7.6</v>
      </c>
      <c r="C16" s="66">
        <f>AVERAGE(B6:B17)</f>
        <v>9.2249999999999979</v>
      </c>
      <c r="D16" s="58">
        <f t="shared" si="4"/>
        <v>9.2416666666666636</v>
      </c>
      <c r="E16" s="64">
        <f t="shared" si="5"/>
        <v>-1.6770833333333321</v>
      </c>
      <c r="F16" s="64">
        <f t="shared" si="1"/>
        <v>1.2206688596491226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20">
        <v>16</v>
      </c>
      <c r="B17" s="21">
        <v>7.6</v>
      </c>
      <c r="C17" s="66">
        <f>AVERAGE(B7:B18)</f>
        <v>9.2583333333333311</v>
      </c>
      <c r="D17" s="58">
        <f t="shared" si="4"/>
        <v>9.2499999999999982</v>
      </c>
      <c r="E17" s="64">
        <f t="shared" si="5"/>
        <v>-1.6729166666666639</v>
      </c>
      <c r="F17" s="64">
        <f t="shared" si="1"/>
        <v>1.2201206140350873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3">
      <c r="A18" s="20">
        <v>17</v>
      </c>
      <c r="B18" s="21">
        <v>8.5</v>
      </c>
      <c r="C18" s="66">
        <f>AVERAGE(B8:B19)</f>
        <v>9.2416666666666654</v>
      </c>
      <c r="D18" s="58">
        <f t="shared" si="4"/>
        <v>9.1999999999999993</v>
      </c>
      <c r="E18" s="64">
        <f t="shared" si="5"/>
        <v>-0.73124999999999929</v>
      </c>
      <c r="F18" s="64">
        <f t="shared" si="1"/>
        <v>1.0860294117647058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3">
      <c r="A19" s="20">
        <v>18</v>
      </c>
      <c r="B19" s="21">
        <v>9.8000000000000007</v>
      </c>
      <c r="C19" s="66">
        <f>AVERAGE(B9:B20)</f>
        <v>9.1583333333333332</v>
      </c>
      <c r="D19" s="58">
        <f t="shared" si="4"/>
        <v>9.15</v>
      </c>
      <c r="E19" s="64">
        <f t="shared" si="5"/>
        <v>0.58958333333333357</v>
      </c>
      <c r="F19" s="64">
        <f t="shared" si="1"/>
        <v>0.93983843537414968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3">
      <c r="A20" s="20">
        <v>19</v>
      </c>
      <c r="B20" s="21">
        <v>10.9</v>
      </c>
      <c r="C20" s="66">
        <f>AVERAGE(B10:B21)</f>
        <v>9.1416666666666675</v>
      </c>
      <c r="D20" s="58">
        <f t="shared" si="4"/>
        <v>9.1416666666666675</v>
      </c>
      <c r="E20" s="64">
        <f t="shared" si="5"/>
        <v>1.6854166666666668</v>
      </c>
      <c r="F20" s="64">
        <f t="shared" si="1"/>
        <v>0.84537461773700306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3">
      <c r="A21" s="20">
        <v>20</v>
      </c>
      <c r="B21" s="21">
        <v>11.7</v>
      </c>
      <c r="C21" s="66">
        <f>AVERAGE(B11:B22)</f>
        <v>9.1416666666666675</v>
      </c>
      <c r="D21" s="58">
        <f t="shared" si="4"/>
        <v>9.1333333333333346</v>
      </c>
      <c r="E21" s="64">
        <f t="shared" si="5"/>
        <v>2.4958333333333336</v>
      </c>
      <c r="F21" s="64">
        <f t="shared" si="1"/>
        <v>0.7866809116809117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3">
      <c r="A22" s="20">
        <v>21</v>
      </c>
      <c r="B22" s="21">
        <v>11.7</v>
      </c>
      <c r="C22" s="66">
        <f>AVERAGE(B12:B23)</f>
        <v>9.1250000000000018</v>
      </c>
      <c r="D22" s="58">
        <f t="shared" si="4"/>
        <v>9.1541666666666686</v>
      </c>
      <c r="E22" s="64">
        <f t="shared" si="5"/>
        <v>2.5062499999999979</v>
      </c>
      <c r="F22" s="64">
        <f t="shared" si="1"/>
        <v>0.7857905982905985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3">
      <c r="A23" s="20">
        <v>22</v>
      </c>
      <c r="B23" s="21">
        <v>10.4</v>
      </c>
      <c r="C23" s="66">
        <f>AVERAGE(B13:B24)</f>
        <v>9.1833333333333353</v>
      </c>
      <c r="D23" s="58">
        <f t="shared" si="4"/>
        <v>9.2000000000000011</v>
      </c>
      <c r="E23" s="64">
        <f t="shared" si="5"/>
        <v>1.1979166666666661</v>
      </c>
      <c r="F23" s="64">
        <f t="shared" si="1"/>
        <v>0.88481570512820518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3">
      <c r="A24" s="20">
        <v>23</v>
      </c>
      <c r="B24" s="21">
        <v>9.6999999999999993</v>
      </c>
      <c r="C24" s="66">
        <f>AVERAGE(B14:B25)</f>
        <v>9.2166666666666668</v>
      </c>
      <c r="D24" s="58">
        <f t="shared" si="4"/>
        <v>9.2249999999999996</v>
      </c>
      <c r="E24" s="64">
        <f t="shared" si="5"/>
        <v>0.44791666666666607</v>
      </c>
      <c r="F24" s="64">
        <f t="shared" si="1"/>
        <v>0.95382302405498287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x14ac:dyDescent="0.3">
      <c r="A25" s="20">
        <v>24</v>
      </c>
      <c r="B25" s="21">
        <v>8.3000000000000007</v>
      </c>
      <c r="C25" s="66">
        <f>AVERAGE(B15:B26)</f>
        <v>9.2333333333333325</v>
      </c>
      <c r="D25" s="58">
        <f t="shared" si="4"/>
        <v>9.2375000000000007</v>
      </c>
      <c r="E25" s="64">
        <f t="shared" si="5"/>
        <v>-0.91249999999999964</v>
      </c>
      <c r="F25" s="64">
        <f t="shared" si="1"/>
        <v>1.1099397590361446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3">
      <c r="A26" s="20">
        <v>25</v>
      </c>
      <c r="B26" s="21">
        <v>7.5</v>
      </c>
      <c r="C26" s="66">
        <f>AVERAGE(B16:B27)</f>
        <v>9.2416666666666671</v>
      </c>
      <c r="D26" s="58">
        <f t="shared" si="4"/>
        <v>9.2624999999999993</v>
      </c>
      <c r="E26" s="64">
        <f t="shared" ref="E26:E37" si="6">B26-M2</f>
        <v>-1.7208333333333314</v>
      </c>
      <c r="F26" s="64">
        <f t="shared" si="1"/>
        <v>1.2294444444444441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x14ac:dyDescent="0.3">
      <c r="A27" s="20">
        <v>26</v>
      </c>
      <c r="B27" s="21">
        <v>7.2</v>
      </c>
      <c r="C27" s="66">
        <f>AVERAGE(B17:B28)</f>
        <v>9.2833333333333332</v>
      </c>
      <c r="D27" s="58">
        <f t="shared" si="4"/>
        <v>9.2916666666666661</v>
      </c>
      <c r="E27" s="64">
        <f t="shared" si="6"/>
        <v>-2.0562499999999977</v>
      </c>
      <c r="F27" s="64">
        <f t="shared" si="1"/>
        <v>1.2855902777777775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x14ac:dyDescent="0.3">
      <c r="A28" s="20">
        <v>27</v>
      </c>
      <c r="B28" s="21">
        <v>8.1</v>
      </c>
      <c r="C28" s="66">
        <f t="shared" ref="C12:C35" si="7">AVERAGE(B18:B29)</f>
        <v>9.2999999999999989</v>
      </c>
      <c r="D28" s="58">
        <f t="shared" si="4"/>
        <v>9.3125</v>
      </c>
      <c r="E28" s="64">
        <f t="shared" si="6"/>
        <v>-1.1770833333333321</v>
      </c>
      <c r="F28" s="64">
        <f t="shared" si="1"/>
        <v>1.1453189300411522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x14ac:dyDescent="0.3">
      <c r="A29" s="20">
        <v>28</v>
      </c>
      <c r="B29" s="21">
        <v>7.8</v>
      </c>
      <c r="C29" s="66">
        <f>AVERAGE(B19:B30)</f>
        <v>9.3249999999999993</v>
      </c>
      <c r="D29" s="58">
        <f t="shared" si="4"/>
        <v>9.2958333333333307</v>
      </c>
      <c r="E29" s="64">
        <f t="shared" si="6"/>
        <v>-1.4729166666666638</v>
      </c>
      <c r="F29" s="64">
        <f t="shared" si="1"/>
        <v>1.1888354700854697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x14ac:dyDescent="0.3">
      <c r="A30" s="20">
        <v>29</v>
      </c>
      <c r="B30" s="21">
        <v>8.8000000000000007</v>
      </c>
      <c r="C30" s="66">
        <f t="shared" si="7"/>
        <v>9.2666666666666639</v>
      </c>
      <c r="D30" s="58">
        <f t="shared" si="4"/>
        <v>9.2624999999999975</v>
      </c>
      <c r="E30" s="64">
        <f t="shared" si="6"/>
        <v>-0.43124999999999858</v>
      </c>
      <c r="F30" s="64">
        <f t="shared" si="1"/>
        <v>1.0490056818181817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x14ac:dyDescent="0.3">
      <c r="A31" s="20">
        <v>30</v>
      </c>
      <c r="B31" s="21">
        <v>9.1</v>
      </c>
      <c r="C31" s="66">
        <f t="shared" si="7"/>
        <v>9.2583333333333311</v>
      </c>
      <c r="D31" s="58">
        <f t="shared" si="4"/>
        <v>9.2708333333333321</v>
      </c>
      <c r="E31" s="64">
        <f t="shared" si="6"/>
        <v>-0.1104166666666675</v>
      </c>
      <c r="F31" s="64">
        <f t="shared" si="1"/>
        <v>1.0121336996336998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x14ac:dyDescent="0.3">
      <c r="A32" s="20">
        <v>31</v>
      </c>
      <c r="B32" s="21">
        <v>10.8</v>
      </c>
      <c r="C32" s="66">
        <f t="shared" si="7"/>
        <v>9.2833333333333332</v>
      </c>
      <c r="D32" s="58">
        <f t="shared" si="4"/>
        <v>9.2874999999999996</v>
      </c>
      <c r="E32" s="64">
        <f t="shared" si="6"/>
        <v>1.5854166666666671</v>
      </c>
      <c r="F32" s="64">
        <f t="shared" si="1"/>
        <v>0.85320216049382713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x14ac:dyDescent="0.3">
      <c r="A33" s="20">
        <v>32</v>
      </c>
      <c r="B33" s="21">
        <v>12</v>
      </c>
      <c r="C33" s="66">
        <f t="shared" si="7"/>
        <v>9.2916666666666661</v>
      </c>
      <c r="D33" s="58">
        <f t="shared" si="4"/>
        <v>9.2749999999999986</v>
      </c>
      <c r="E33" s="64">
        <f t="shared" si="6"/>
        <v>2.7958333333333343</v>
      </c>
      <c r="F33" s="64">
        <f t="shared" si="1"/>
        <v>0.76701388888888877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x14ac:dyDescent="0.3">
      <c r="A34" s="20">
        <v>33</v>
      </c>
      <c r="B34" s="21">
        <v>11.8</v>
      </c>
      <c r="C34" s="66">
        <f t="shared" si="7"/>
        <v>9.2583333333333329</v>
      </c>
      <c r="D34" s="58">
        <f t="shared" si="4"/>
        <v>9.2333333333333343</v>
      </c>
      <c r="E34" s="64">
        <f t="shared" si="6"/>
        <v>2.6062499999999993</v>
      </c>
      <c r="F34" s="64">
        <f t="shared" si="1"/>
        <v>0.77913135593220351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x14ac:dyDescent="0.3">
      <c r="A35" s="20">
        <v>34</v>
      </c>
      <c r="B35" s="21">
        <v>10</v>
      </c>
      <c r="C35" s="66">
        <f t="shared" si="7"/>
        <v>9.2083333333333339</v>
      </c>
      <c r="D35" s="58">
        <f>AVERAGE(C35:C36)</f>
        <v>9.2041666666666657</v>
      </c>
      <c r="E35" s="64">
        <f t="shared" si="6"/>
        <v>0.79791666666666572</v>
      </c>
      <c r="F35" s="64">
        <f t="shared" si="1"/>
        <v>0.92020833333333341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3">
      <c r="A36" s="20">
        <v>35</v>
      </c>
      <c r="B36" s="21">
        <v>9.1</v>
      </c>
      <c r="C36" s="66">
        <f>AVERAGE(B26:B40)</f>
        <v>9.1999999999999993</v>
      </c>
      <c r="D36" s="2"/>
      <c r="E36" s="64">
        <f t="shared" si="6"/>
        <v>-0.15208333333333357</v>
      </c>
      <c r="F36" s="64">
        <f t="shared" si="1"/>
        <v>1.0167124542124542</v>
      </c>
      <c r="G36" s="13"/>
      <c r="H36" s="13"/>
      <c r="I36" s="38"/>
      <c r="J36" s="13"/>
      <c r="K36" s="13"/>
      <c r="L36" s="13"/>
      <c r="M36" s="13"/>
      <c r="N36" s="13"/>
      <c r="O36" s="13"/>
      <c r="P36" s="13"/>
      <c r="Q36" s="13"/>
    </row>
    <row r="37" spans="1:17" x14ac:dyDescent="0.3">
      <c r="A37" s="20">
        <v>36</v>
      </c>
      <c r="B37" s="21">
        <v>8.1999999999999993</v>
      </c>
      <c r="C37" s="2"/>
      <c r="D37" s="2"/>
      <c r="E37" s="64">
        <f t="shared" si="6"/>
        <v>-1.0125000000000011</v>
      </c>
      <c r="F37" s="64">
        <f t="shared" si="1"/>
        <v>1.1234756097560976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 x14ac:dyDescent="0.3">
      <c r="F38" s="65">
        <f>AVERAGE(F2:F37)</f>
        <v>1.0298359207632573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 x14ac:dyDescent="0.3">
      <c r="A39" s="6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1:17" x14ac:dyDescent="0.3">
      <c r="A40" s="6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x14ac:dyDescent="0.3">
      <c r="A41" s="6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x14ac:dyDescent="0.3">
      <c r="A42" s="15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x14ac:dyDescent="0.3">
      <c r="A43" s="15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7" x14ac:dyDescent="0.3">
      <c r="A44" s="15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1:17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opLeftCell="A22" workbookViewId="0">
      <selection activeCell="E22" sqref="E22"/>
    </sheetView>
  </sheetViews>
  <sheetFormatPr defaultRowHeight="14.4" x14ac:dyDescent="0.3"/>
  <cols>
    <col min="17" max="17" width="11.44140625" customWidth="1"/>
    <col min="18" max="18" width="14.5546875" customWidth="1"/>
  </cols>
  <sheetData>
    <row r="1" spans="1:21" x14ac:dyDescent="0.3">
      <c r="A1" s="59" t="s">
        <v>74</v>
      </c>
      <c r="B1" s="59" t="s">
        <v>75</v>
      </c>
      <c r="C1" s="59" t="s">
        <v>68</v>
      </c>
      <c r="D1" s="59" t="s">
        <v>76</v>
      </c>
      <c r="E1" s="59" t="s">
        <v>77</v>
      </c>
      <c r="F1" s="59" t="s">
        <v>78</v>
      </c>
      <c r="G1" s="59" t="s">
        <v>79</v>
      </c>
      <c r="H1" s="62" t="s">
        <v>69</v>
      </c>
      <c r="I1" s="62" t="s">
        <v>80</v>
      </c>
      <c r="J1" s="59" t="s">
        <v>81</v>
      </c>
      <c r="K1" s="59" t="s">
        <v>82</v>
      </c>
      <c r="L1" s="59" t="s">
        <v>83</v>
      </c>
      <c r="M1" s="59" t="s">
        <v>84</v>
      </c>
      <c r="N1" s="62" t="s">
        <v>72</v>
      </c>
      <c r="O1" s="62" t="s">
        <v>80</v>
      </c>
      <c r="P1" s="59" t="s">
        <v>86</v>
      </c>
      <c r="Q1" s="59" t="s">
        <v>87</v>
      </c>
      <c r="R1" s="59" t="s">
        <v>88</v>
      </c>
      <c r="S1" s="59" t="s">
        <v>89</v>
      </c>
      <c r="T1" s="62" t="s">
        <v>90</v>
      </c>
      <c r="U1" s="62" t="s">
        <v>80</v>
      </c>
    </row>
    <row r="2" spans="1:21" x14ac:dyDescent="0.3">
      <c r="A2" s="61">
        <v>1</v>
      </c>
      <c r="B2" s="21">
        <v>8.4</v>
      </c>
      <c r="C2" s="2">
        <v>0</v>
      </c>
      <c r="D2" s="2">
        <f>COS(C2)</f>
        <v>1</v>
      </c>
      <c r="E2" s="2">
        <f>SIN(C2)</f>
        <v>0</v>
      </c>
      <c r="F2" s="2">
        <f>B2*D2</f>
        <v>8.4</v>
      </c>
      <c r="G2" s="2">
        <f>B2*E2</f>
        <v>0</v>
      </c>
      <c r="H2" s="2">
        <f>$B$38+$G$41*D2+$G$42*E2</f>
        <v>9.286236480667597</v>
      </c>
      <c r="I2" s="2">
        <f>ABS(H2-$B2)/$B2</f>
        <v>0.10550434293661864</v>
      </c>
      <c r="J2" s="2">
        <f t="shared" ref="J2:J37" si="0">COS(2*$C2)</f>
        <v>1</v>
      </c>
      <c r="K2" s="2">
        <f t="shared" ref="K2:K37" si="1">SIN(2*$C2)</f>
        <v>0</v>
      </c>
      <c r="L2" s="2">
        <f>$B2*J2</f>
        <v>8.4</v>
      </c>
      <c r="M2" s="2">
        <f t="shared" ref="L2:M37" si="2">$B2*K2</f>
        <v>0</v>
      </c>
      <c r="N2" s="2">
        <f>H2+$M$41*J2+$M$42*K2</f>
        <v>9.29015724213372</v>
      </c>
      <c r="O2" s="2">
        <f>ABS(N2-$B2)/$B2</f>
        <v>0.10597110025401424</v>
      </c>
      <c r="P2" s="2">
        <f t="shared" ref="P2:P37" si="3">COS(3*$C2)</f>
        <v>1</v>
      </c>
      <c r="Q2" s="2">
        <f t="shared" ref="Q2:Q37" si="4">SIN(3*$C2)</f>
        <v>0</v>
      </c>
      <c r="R2" s="2">
        <f t="shared" ref="R2:S37" si="5">$B2*P2</f>
        <v>8.4</v>
      </c>
      <c r="S2" s="2">
        <f t="shared" si="5"/>
        <v>0</v>
      </c>
      <c r="T2" s="2">
        <f>N2+$S$40*P2+$S$41*Q2</f>
        <v>7.5767101806555814</v>
      </c>
      <c r="U2" s="2">
        <f>ABS(T2-$B2)/$B2</f>
        <v>9.8010692779097491E-2</v>
      </c>
    </row>
    <row r="3" spans="1:21" x14ac:dyDescent="0.3">
      <c r="A3" s="20">
        <v>2</v>
      </c>
      <c r="B3" s="21">
        <v>8.1999999999999993</v>
      </c>
      <c r="C3" s="2">
        <f>C2+PI()/18</f>
        <v>0.17453292519943295</v>
      </c>
      <c r="D3" s="2">
        <f>COS(C3)</f>
        <v>0.98480775301220802</v>
      </c>
      <c r="E3" s="2">
        <f t="shared" ref="E3:E37" si="6">SIN(C3)</f>
        <v>0.17364817766693033</v>
      </c>
      <c r="F3" s="2">
        <f>B3*D3</f>
        <v>8.0754235747001051</v>
      </c>
      <c r="G3" s="2">
        <f t="shared" ref="G3:G37" si="7">B3*E3</f>
        <v>1.4239150568688286</v>
      </c>
      <c r="H3" s="2">
        <f t="shared" ref="H3:H36" si="8">$B$38+$G$41*D3+$G$42*E3</f>
        <v>9.2811661690810645</v>
      </c>
      <c r="I3" s="2">
        <f t="shared" ref="I3:I37" si="9">ABS(H3-$B3)/$B3</f>
        <v>0.13184953281476405</v>
      </c>
      <c r="J3" s="2">
        <f t="shared" si="0"/>
        <v>0.93969262078590843</v>
      </c>
      <c r="K3" s="2">
        <f t="shared" si="1"/>
        <v>0.34202014332566871</v>
      </c>
      <c r="L3" s="2">
        <f t="shared" si="2"/>
        <v>7.7054794904444481</v>
      </c>
      <c r="M3" s="2">
        <f t="shared" si="2"/>
        <v>2.8045651752704832</v>
      </c>
      <c r="N3" s="2">
        <f t="shared" ref="N3:N37" si="10">H3+$M$41*J3+$M$42*K3</f>
        <v>9.3270341927663569</v>
      </c>
      <c r="O3" s="2">
        <f t="shared" ref="O3:O37" si="11">ABS(N3-$B3)/$B3</f>
        <v>0.13744319423979973</v>
      </c>
      <c r="P3" s="2">
        <f t="shared" si="3"/>
        <v>0.86602540378443871</v>
      </c>
      <c r="Q3" s="2">
        <f t="shared" si="4"/>
        <v>0.49999999999999994</v>
      </c>
      <c r="R3" s="2">
        <f t="shared" si="5"/>
        <v>7.1014083110323964</v>
      </c>
      <c r="S3" s="2">
        <f t="shared" si="5"/>
        <v>4.0999999999999988</v>
      </c>
      <c r="T3" s="2">
        <f t="shared" ref="T3:T37" si="12">N3+$S$40*P3+$S$41*Q3</f>
        <v>7.1330458945552904</v>
      </c>
      <c r="U3" s="2">
        <f t="shared" ref="U2:U37" si="13">ABS(T3-$B3)/$B3</f>
        <v>0.1301163543225255</v>
      </c>
    </row>
    <row r="4" spans="1:21" x14ac:dyDescent="0.3">
      <c r="A4" s="20">
        <v>3</v>
      </c>
      <c r="B4" s="21">
        <v>6.7</v>
      </c>
      <c r="C4" s="2">
        <f>C3+PI()/18</f>
        <v>0.3490658503988659</v>
      </c>
      <c r="D4" s="2">
        <f t="shared" ref="D4:D37" si="14">COS(C4)</f>
        <v>0.93969262078590843</v>
      </c>
      <c r="E4" s="2">
        <f t="shared" si="6"/>
        <v>0.34202014332566871</v>
      </c>
      <c r="F4" s="2">
        <f t="shared" ref="F4:F37" si="15">B4*D4</f>
        <v>6.2959405592655866</v>
      </c>
      <c r="G4" s="2">
        <f t="shared" si="7"/>
        <v>2.2915349602819806</v>
      </c>
      <c r="H4" s="2">
        <f t="shared" si="8"/>
        <v>9.2750644878456896</v>
      </c>
      <c r="I4" s="2">
        <f t="shared" si="9"/>
        <v>0.38433798326055063</v>
      </c>
      <c r="J4" s="2">
        <f t="shared" si="0"/>
        <v>0.76604444311897801</v>
      </c>
      <c r="K4" s="2">
        <f t="shared" si="1"/>
        <v>0.64278760968653925</v>
      </c>
      <c r="L4" s="2">
        <f t="shared" si="2"/>
        <v>5.1324977688971529</v>
      </c>
      <c r="M4" s="2">
        <f t="shared" si="2"/>
        <v>4.3066769848998128</v>
      </c>
      <c r="N4" s="2">
        <f t="shared" si="10"/>
        <v>9.3573474131537715</v>
      </c>
      <c r="O4" s="2">
        <f t="shared" si="11"/>
        <v>0.39661901688862256</v>
      </c>
      <c r="P4" s="2">
        <f t="shared" si="3"/>
        <v>0.50000000000000011</v>
      </c>
      <c r="Q4" s="2">
        <f t="shared" si="4"/>
        <v>0.8660254037844386</v>
      </c>
      <c r="R4" s="2">
        <f t="shared" si="5"/>
        <v>3.350000000000001</v>
      </c>
      <c r="S4" s="2">
        <f t="shared" si="5"/>
        <v>5.8023702053557384</v>
      </c>
      <c r="T4" s="2">
        <f t="shared" si="12"/>
        <v>7.2706952709187664</v>
      </c>
      <c r="U4" s="2">
        <f t="shared" si="13"/>
        <v>8.5178398644591979E-2</v>
      </c>
    </row>
    <row r="5" spans="1:21" x14ac:dyDescent="0.3">
      <c r="A5" s="20">
        <v>4</v>
      </c>
      <c r="B5" s="21">
        <v>7.5</v>
      </c>
      <c r="C5" s="2">
        <f>C4+PI()/18</f>
        <v>0.52359877559829882</v>
      </c>
      <c r="D5" s="2">
        <f t="shared" si="14"/>
        <v>0.86602540378443871</v>
      </c>
      <c r="E5" s="2">
        <f t="shared" si="6"/>
        <v>0.49999999999999994</v>
      </c>
      <c r="F5" s="2">
        <f t="shared" si="15"/>
        <v>6.49519052838329</v>
      </c>
      <c r="G5" s="2">
        <f t="shared" si="7"/>
        <v>3.7499999999999996</v>
      </c>
      <c r="H5" s="2">
        <f t="shared" si="8"/>
        <v>9.2681168334582136</v>
      </c>
      <c r="I5" s="2">
        <f t="shared" si="9"/>
        <v>0.23574891112776181</v>
      </c>
      <c r="J5" s="2">
        <f t="shared" si="0"/>
        <v>0.50000000000000011</v>
      </c>
      <c r="K5" s="2">
        <f t="shared" si="1"/>
        <v>0.8660254037844386</v>
      </c>
      <c r="L5" s="2">
        <f t="shared" si="2"/>
        <v>3.7500000000000009</v>
      </c>
      <c r="M5" s="2">
        <f t="shared" si="2"/>
        <v>6.4951905283832891</v>
      </c>
      <c r="N5" s="2">
        <f t="shared" si="10"/>
        <v>9.3768901252302843</v>
      </c>
      <c r="O5" s="2">
        <f t="shared" si="11"/>
        <v>0.25025201669737124</v>
      </c>
      <c r="P5" s="2">
        <f t="shared" si="3"/>
        <v>6.1257422745431001E-17</v>
      </c>
      <c r="Q5" s="2">
        <f t="shared" si="4"/>
        <v>1</v>
      </c>
      <c r="R5" s="2">
        <f t="shared" si="5"/>
        <v>4.594306705907325E-16</v>
      </c>
      <c r="S5" s="2">
        <f t="shared" si="5"/>
        <v>7.5</v>
      </c>
      <c r="T5" s="2">
        <f t="shared" si="12"/>
        <v>7.9566908953678812</v>
      </c>
      <c r="U5" s="2">
        <f t="shared" si="13"/>
        <v>6.0892119382384161E-2</v>
      </c>
    </row>
    <row r="6" spans="1:21" x14ac:dyDescent="0.3">
      <c r="A6" s="20">
        <v>5</v>
      </c>
      <c r="B6" s="21">
        <v>8.1</v>
      </c>
      <c r="C6" s="2">
        <f>C5+PI()/18</f>
        <v>0.69813170079773179</v>
      </c>
      <c r="D6" s="2">
        <f t="shared" si="14"/>
        <v>0.76604444311897801</v>
      </c>
      <c r="E6" s="2">
        <f t="shared" si="6"/>
        <v>0.64278760968653925</v>
      </c>
      <c r="F6" s="2">
        <f t="shared" si="15"/>
        <v>6.2049599892637213</v>
      </c>
      <c r="G6" s="2">
        <f t="shared" si="7"/>
        <v>5.2065796384609673</v>
      </c>
      <c r="H6" s="2">
        <f t="shared" si="8"/>
        <v>9.2605343068815138</v>
      </c>
      <c r="I6" s="2">
        <f t="shared" si="9"/>
        <v>0.14327584035574251</v>
      </c>
      <c r="J6" s="2">
        <f t="shared" si="0"/>
        <v>0.17364817766693041</v>
      </c>
      <c r="K6" s="2">
        <f t="shared" si="1"/>
        <v>0.98480775301220802</v>
      </c>
      <c r="L6" s="2">
        <f t="shared" si="2"/>
        <v>1.4065502391021363</v>
      </c>
      <c r="M6" s="2">
        <f t="shared" si="2"/>
        <v>7.9769427993988842</v>
      </c>
      <c r="N6" s="2">
        <f t="shared" si="10"/>
        <v>9.3826783008070507</v>
      </c>
      <c r="O6" s="2">
        <f t="shared" si="11"/>
        <v>0.15835534577864829</v>
      </c>
      <c r="P6" s="2">
        <f t="shared" si="3"/>
        <v>-0.49999999999999978</v>
      </c>
      <c r="Q6" s="2">
        <f t="shared" si="4"/>
        <v>0.86602540378443871</v>
      </c>
      <c r="R6" s="2">
        <f t="shared" si="5"/>
        <v>-4.049999999999998</v>
      </c>
      <c r="S6" s="2">
        <f t="shared" si="5"/>
        <v>7.0148057706539531</v>
      </c>
      <c r="T6" s="2">
        <f t="shared" si="12"/>
        <v>9.0094732200501841</v>
      </c>
      <c r="U6" s="2">
        <f t="shared" si="13"/>
        <v>0.11228064445064007</v>
      </c>
    </row>
    <row r="7" spans="1:21" x14ac:dyDescent="0.3">
      <c r="A7" s="20">
        <v>6</v>
      </c>
      <c r="B7" s="21">
        <v>10</v>
      </c>
      <c r="C7" s="2">
        <f t="shared" ref="C7:C36" si="16">C6+PI()/18</f>
        <v>0.87266462599716477</v>
      </c>
      <c r="D7" s="2">
        <f t="shared" si="14"/>
        <v>0.64278760968653936</v>
      </c>
      <c r="E7" s="2">
        <f t="shared" si="6"/>
        <v>0.76604444311897801</v>
      </c>
      <c r="F7" s="2">
        <f t="shared" si="15"/>
        <v>6.4278760968653934</v>
      </c>
      <c r="G7" s="2">
        <f t="shared" si="7"/>
        <v>7.6604444311897799</v>
      </c>
      <c r="H7" s="2">
        <f t="shared" si="8"/>
        <v>9.2525472993486826</v>
      </c>
      <c r="I7" s="2">
        <f t="shared" si="9"/>
        <v>7.4745270065131736E-2</v>
      </c>
      <c r="J7" s="2">
        <f t="shared" si="0"/>
        <v>-0.1736481776669303</v>
      </c>
      <c r="K7" s="2">
        <f t="shared" si="1"/>
        <v>0.98480775301220802</v>
      </c>
      <c r="L7" s="2">
        <f t="shared" si="2"/>
        <v>-1.736481776669303</v>
      </c>
      <c r="M7" s="2">
        <f t="shared" si="2"/>
        <v>9.8480775301220795</v>
      </c>
      <c r="N7" s="2">
        <f t="shared" si="10"/>
        <v>9.3733296271068998</v>
      </c>
      <c r="O7" s="2">
        <f t="shared" si="11"/>
        <v>6.2667037289310029E-2</v>
      </c>
      <c r="P7" s="2">
        <f t="shared" si="3"/>
        <v>-0.86602540378443871</v>
      </c>
      <c r="Q7" s="2">
        <f t="shared" si="4"/>
        <v>0.49999999999999994</v>
      </c>
      <c r="R7" s="2">
        <f t="shared" si="5"/>
        <v>-8.6602540378443873</v>
      </c>
      <c r="S7" s="2">
        <f t="shared" si="5"/>
        <v>4.9999999999999991</v>
      </c>
      <c r="T7" s="2">
        <f t="shared" si="12"/>
        <v>10.147118695455564</v>
      </c>
      <c r="U7" s="2">
        <f t="shared" si="13"/>
        <v>1.4711869545556411E-2</v>
      </c>
    </row>
    <row r="8" spans="1:21" x14ac:dyDescent="0.3">
      <c r="A8" s="20">
        <v>7</v>
      </c>
      <c r="B8" s="21">
        <v>11.9</v>
      </c>
      <c r="C8" s="2">
        <f t="shared" si="16"/>
        <v>1.0471975511965976</v>
      </c>
      <c r="D8" s="2">
        <f t="shared" si="14"/>
        <v>0.50000000000000011</v>
      </c>
      <c r="E8" s="2">
        <f t="shared" si="6"/>
        <v>0.8660254037844386</v>
      </c>
      <c r="F8" s="2">
        <f t="shared" si="15"/>
        <v>5.9500000000000011</v>
      </c>
      <c r="G8" s="2">
        <f t="shared" si="7"/>
        <v>10.305702305034819</v>
      </c>
      <c r="H8" s="2">
        <f t="shared" si="8"/>
        <v>9.2443984920419826</v>
      </c>
      <c r="I8" s="2">
        <f t="shared" si="9"/>
        <v>0.22315979058470736</v>
      </c>
      <c r="J8" s="2">
        <f t="shared" si="0"/>
        <v>-0.49999999999999978</v>
      </c>
      <c r="K8" s="2">
        <f t="shared" si="1"/>
        <v>0.86602540378443871</v>
      </c>
      <c r="L8" s="2">
        <f t="shared" si="2"/>
        <v>-5.9499999999999975</v>
      </c>
      <c r="M8" s="2">
        <f t="shared" si="2"/>
        <v>10.305702305034821</v>
      </c>
      <c r="N8" s="2">
        <f t="shared" si="10"/>
        <v>9.3492510223479304</v>
      </c>
      <c r="O8" s="2">
        <f t="shared" si="11"/>
        <v>0.21434865358420754</v>
      </c>
      <c r="P8" s="2">
        <f t="shared" si="3"/>
        <v>-1</v>
      </c>
      <c r="Q8" s="2">
        <f t="shared" si="4"/>
        <v>1.22514845490862E-16</v>
      </c>
      <c r="R8" s="2">
        <f t="shared" si="5"/>
        <v>-11.9</v>
      </c>
      <c r="S8" s="2">
        <f t="shared" si="5"/>
        <v>1.4579266613412578E-15</v>
      </c>
      <c r="T8" s="2">
        <f t="shared" si="12"/>
        <v>11.062698083826069</v>
      </c>
      <c r="U8" s="2">
        <f t="shared" si="13"/>
        <v>7.0361505560834578E-2</v>
      </c>
    </row>
    <row r="9" spans="1:21" x14ac:dyDescent="0.3">
      <c r="A9" s="20">
        <v>8</v>
      </c>
      <c r="B9" s="21">
        <v>11.9</v>
      </c>
      <c r="C9" s="2">
        <f t="shared" si="16"/>
        <v>1.2217304763960306</v>
      </c>
      <c r="D9" s="2">
        <f t="shared" si="14"/>
        <v>0.34202014332566882</v>
      </c>
      <c r="E9" s="2">
        <f t="shared" si="6"/>
        <v>0.93969262078590832</v>
      </c>
      <c r="F9" s="2">
        <f t="shared" si="15"/>
        <v>4.0700397055754589</v>
      </c>
      <c r="G9" s="2">
        <f t="shared" si="7"/>
        <v>11.18234218735231</v>
      </c>
      <c r="H9" s="2">
        <f t="shared" si="8"/>
        <v>9.2363354823479344</v>
      </c>
      <c r="I9" s="2">
        <f t="shared" si="9"/>
        <v>0.22383735442454333</v>
      </c>
      <c r="J9" s="2">
        <f t="shared" si="0"/>
        <v>-0.7660444431189779</v>
      </c>
      <c r="K9" s="2">
        <f t="shared" si="1"/>
        <v>0.64278760968653947</v>
      </c>
      <c r="L9" s="2">
        <f t="shared" si="2"/>
        <v>-9.1159288731158377</v>
      </c>
      <c r="M9" s="2">
        <f t="shared" si="2"/>
        <v>7.6491725552698195</v>
      </c>
      <c r="N9" s="2">
        <f t="shared" si="10"/>
        <v>9.3126114525881771</v>
      </c>
      <c r="O9" s="2">
        <f t="shared" si="11"/>
        <v>0.21742760902620362</v>
      </c>
      <c r="P9" s="2">
        <f t="shared" si="3"/>
        <v>-0.86602540378443882</v>
      </c>
      <c r="Q9" s="2">
        <f t="shared" si="4"/>
        <v>-0.49999999999999972</v>
      </c>
      <c r="R9" s="2">
        <f t="shared" si="5"/>
        <v>-10.305702305034822</v>
      </c>
      <c r="S9" s="2">
        <f t="shared" si="5"/>
        <v>-5.9499999999999966</v>
      </c>
      <c r="T9" s="2">
        <f t="shared" si="12"/>
        <v>11.506599750799243</v>
      </c>
      <c r="U9" s="2">
        <f t="shared" si="13"/>
        <v>3.3058844470651896E-2</v>
      </c>
    </row>
    <row r="10" spans="1:21" x14ac:dyDescent="0.3">
      <c r="A10" s="20">
        <v>9</v>
      </c>
      <c r="B10" s="21">
        <v>11.7</v>
      </c>
      <c r="C10" s="2">
        <f t="shared" si="16"/>
        <v>1.3962634015954636</v>
      </c>
      <c r="D10" s="2">
        <f t="shared" si="14"/>
        <v>0.17364817766693041</v>
      </c>
      <c r="E10" s="2">
        <f t="shared" si="6"/>
        <v>0.98480775301220802</v>
      </c>
      <c r="F10" s="2">
        <f t="shared" si="15"/>
        <v>2.0316836787030859</v>
      </c>
      <c r="G10" s="2">
        <f t="shared" si="7"/>
        <v>11.522250710242833</v>
      </c>
      <c r="H10" s="2">
        <f t="shared" si="8"/>
        <v>9.2286032607360085</v>
      </c>
      <c r="I10" s="2">
        <f t="shared" si="9"/>
        <v>0.21123049053538384</v>
      </c>
      <c r="J10" s="2">
        <f t="shared" si="0"/>
        <v>-0.93969262078590832</v>
      </c>
      <c r="K10" s="2">
        <f t="shared" si="1"/>
        <v>0.34202014332566888</v>
      </c>
      <c r="L10" s="2">
        <f t="shared" si="2"/>
        <v>-10.994403663195127</v>
      </c>
      <c r="M10" s="2">
        <f t="shared" si="2"/>
        <v>4.0016356769103254</v>
      </c>
      <c r="N10" s="2">
        <f t="shared" si="10"/>
        <v>9.2671026631861455</v>
      </c>
      <c r="O10" s="2">
        <f t="shared" si="11"/>
        <v>0.20793994331742341</v>
      </c>
      <c r="P10" s="2">
        <f t="shared" si="3"/>
        <v>-0.50000000000000044</v>
      </c>
      <c r="Q10" s="2">
        <f t="shared" si="4"/>
        <v>-0.86602540378443837</v>
      </c>
      <c r="R10" s="2">
        <f t="shared" si="5"/>
        <v>-5.850000000000005</v>
      </c>
      <c r="S10" s="2">
        <f t="shared" si="5"/>
        <v>-10.132497224277929</v>
      </c>
      <c r="T10" s="2">
        <f t="shared" si="12"/>
        <v>11.353754805421151</v>
      </c>
      <c r="U10" s="2">
        <f t="shared" si="13"/>
        <v>2.9593606374260575E-2</v>
      </c>
    </row>
    <row r="11" spans="1:21" x14ac:dyDescent="0.3">
      <c r="A11" s="20">
        <v>10</v>
      </c>
      <c r="B11" s="21">
        <v>10.6</v>
      </c>
      <c r="C11" s="2">
        <f t="shared" si="16"/>
        <v>1.5707963267948966</v>
      </c>
      <c r="D11" s="2">
        <f t="shared" si="14"/>
        <v>6.1257422745431001E-17</v>
      </c>
      <c r="E11" s="2">
        <f t="shared" si="6"/>
        <v>1</v>
      </c>
      <c r="F11" s="2">
        <f t="shared" si="15"/>
        <v>6.4932868110156861E-16</v>
      </c>
      <c r="G11" s="2">
        <f t="shared" si="7"/>
        <v>10.6</v>
      </c>
      <c r="H11" s="2">
        <f t="shared" si="8"/>
        <v>9.2214367668471908</v>
      </c>
      <c r="I11" s="2">
        <f t="shared" si="9"/>
        <v>0.13005313520309517</v>
      </c>
      <c r="J11" s="2">
        <f t="shared" si="0"/>
        <v>-1</v>
      </c>
      <c r="K11" s="2">
        <f t="shared" si="1"/>
        <v>1.22514845490862E-16</v>
      </c>
      <c r="L11" s="2">
        <f t="shared" si="2"/>
        <v>-10.6</v>
      </c>
      <c r="M11" s="2">
        <f t="shared" si="2"/>
        <v>1.2986573622031372E-15</v>
      </c>
      <c r="N11" s="2">
        <f t="shared" si="10"/>
        <v>9.2175160053810679</v>
      </c>
      <c r="O11" s="2">
        <f t="shared" si="11"/>
        <v>0.13042301836027659</v>
      </c>
      <c r="P11" s="2">
        <f t="shared" si="3"/>
        <v>-1.83772268236293E-16</v>
      </c>
      <c r="Q11" s="2">
        <f t="shared" si="4"/>
        <v>-1</v>
      </c>
      <c r="R11" s="2">
        <f t="shared" si="5"/>
        <v>-1.9479860433047058E-15</v>
      </c>
      <c r="S11" s="2">
        <f t="shared" si="5"/>
        <v>-10.6</v>
      </c>
      <c r="T11" s="2">
        <f t="shared" si="12"/>
        <v>10.637715235243471</v>
      </c>
      <c r="U11" s="2">
        <f t="shared" si="13"/>
        <v>3.558041060704841E-3</v>
      </c>
    </row>
    <row r="12" spans="1:21" x14ac:dyDescent="0.3">
      <c r="A12" s="20">
        <v>11</v>
      </c>
      <c r="B12" s="21">
        <v>9</v>
      </c>
      <c r="C12" s="2">
        <f t="shared" si="16"/>
        <v>1.7453292519943295</v>
      </c>
      <c r="D12" s="2">
        <f t="shared" si="14"/>
        <v>-0.1736481776669303</v>
      </c>
      <c r="E12" s="2">
        <f t="shared" si="6"/>
        <v>0.98480775301220802</v>
      </c>
      <c r="F12" s="2">
        <f t="shared" si="15"/>
        <v>-1.5628335990023727</v>
      </c>
      <c r="G12" s="2">
        <f t="shared" si="7"/>
        <v>8.8632697771098723</v>
      </c>
      <c r="H12" s="2">
        <f t="shared" si="8"/>
        <v>9.215053750971876</v>
      </c>
      <c r="I12" s="2">
        <f t="shared" si="9"/>
        <v>2.3894861219097327E-2</v>
      </c>
      <c r="J12" s="2">
        <f t="shared" si="0"/>
        <v>-0.93969262078590843</v>
      </c>
      <c r="K12" s="2">
        <f t="shared" si="1"/>
        <v>-0.34202014332566866</v>
      </c>
      <c r="L12" s="2">
        <f t="shared" si="2"/>
        <v>-8.4572335870731763</v>
      </c>
      <c r="M12" s="2">
        <f t="shared" si="2"/>
        <v>-3.0781812899310177</v>
      </c>
      <c r="N12" s="2">
        <f t="shared" si="10"/>
        <v>9.1691857272865835</v>
      </c>
      <c r="O12" s="2">
        <f t="shared" si="11"/>
        <v>1.8798414142953728E-2</v>
      </c>
      <c r="P12" s="2">
        <f t="shared" si="3"/>
        <v>0.50000000000000011</v>
      </c>
      <c r="Q12" s="2">
        <f t="shared" si="4"/>
        <v>-0.8660254037844386</v>
      </c>
      <c r="R12" s="2">
        <f t="shared" si="5"/>
        <v>4.5000000000000009</v>
      </c>
      <c r="S12" s="2">
        <f t="shared" si="5"/>
        <v>-7.7942286340599471</v>
      </c>
      <c r="T12" s="2">
        <f t="shared" si="12"/>
        <v>9.5423908080434501</v>
      </c>
      <c r="U12" s="2">
        <f t="shared" si="13"/>
        <v>6.0265645338161117E-2</v>
      </c>
    </row>
    <row r="13" spans="1:21" x14ac:dyDescent="0.3">
      <c r="A13" s="20">
        <v>12</v>
      </c>
      <c r="B13" s="21">
        <v>7.9</v>
      </c>
      <c r="C13" s="2">
        <f t="shared" si="16"/>
        <v>1.9198621771937625</v>
      </c>
      <c r="D13" s="2">
        <f t="shared" si="14"/>
        <v>-0.34202014332566871</v>
      </c>
      <c r="E13" s="2">
        <f t="shared" si="6"/>
        <v>0.93969262078590843</v>
      </c>
      <c r="F13" s="2">
        <f t="shared" si="15"/>
        <v>-2.7019591322727829</v>
      </c>
      <c r="G13" s="2">
        <f t="shared" si="7"/>
        <v>7.4235717042086771</v>
      </c>
      <c r="H13" s="2">
        <f t="shared" si="8"/>
        <v>9.2096481578174707</v>
      </c>
      <c r="I13" s="2">
        <f t="shared" si="9"/>
        <v>0.16577824782499623</v>
      </c>
      <c r="J13" s="2">
        <f t="shared" si="0"/>
        <v>-0.76604444311897801</v>
      </c>
      <c r="K13" s="2">
        <f t="shared" si="1"/>
        <v>-0.64278760968653925</v>
      </c>
      <c r="L13" s="2">
        <f t="shared" si="2"/>
        <v>-6.0517511006399269</v>
      </c>
      <c r="M13" s="2">
        <f t="shared" si="2"/>
        <v>-5.0780221165236608</v>
      </c>
      <c r="N13" s="2">
        <f t="shared" si="10"/>
        <v>9.1273652325093888</v>
      </c>
      <c r="O13" s="2">
        <f t="shared" si="11"/>
        <v>0.15536268765941624</v>
      </c>
      <c r="P13" s="2">
        <f t="shared" si="3"/>
        <v>0.86602540378443882</v>
      </c>
      <c r="Q13" s="2">
        <f t="shared" si="4"/>
        <v>-0.49999999999999967</v>
      </c>
      <c r="R13" s="2">
        <f t="shared" si="5"/>
        <v>6.8416006898970672</v>
      </c>
      <c r="S13" s="2">
        <f t="shared" si="5"/>
        <v>-3.9499999999999975</v>
      </c>
      <c r="T13" s="2">
        <f t="shared" si="12"/>
        <v>8.3535761641607245</v>
      </c>
      <c r="U13" s="2">
        <f t="shared" si="13"/>
        <v>5.7414704324142286E-2</v>
      </c>
    </row>
    <row r="14" spans="1:21" x14ac:dyDescent="0.3">
      <c r="A14" s="20">
        <v>13</v>
      </c>
      <c r="B14" s="21">
        <v>7.3</v>
      </c>
      <c r="C14" s="2">
        <f t="shared" si="16"/>
        <v>2.0943951023931953</v>
      </c>
      <c r="D14" s="2">
        <f t="shared" si="14"/>
        <v>-0.49999999999999978</v>
      </c>
      <c r="E14" s="2">
        <f t="shared" si="6"/>
        <v>0.86602540378443871</v>
      </c>
      <c r="F14" s="2">
        <f t="shared" si="15"/>
        <v>-3.6499999999999981</v>
      </c>
      <c r="G14" s="2">
        <f t="shared" si="7"/>
        <v>6.3219854476264024</v>
      </c>
      <c r="H14" s="2">
        <f t="shared" si="8"/>
        <v>9.2053842335966092</v>
      </c>
      <c r="I14" s="2">
        <f t="shared" si="9"/>
        <v>0.26101153884885059</v>
      </c>
      <c r="J14" s="2">
        <f t="shared" si="0"/>
        <v>-0.50000000000000044</v>
      </c>
      <c r="K14" s="2">
        <f t="shared" si="1"/>
        <v>-0.86602540378443837</v>
      </c>
      <c r="L14" s="2">
        <f t="shared" si="2"/>
        <v>-3.650000000000003</v>
      </c>
      <c r="M14" s="2">
        <f t="shared" si="2"/>
        <v>-6.3219854476263997</v>
      </c>
      <c r="N14" s="2">
        <f t="shared" si="10"/>
        <v>9.0966109418245384</v>
      </c>
      <c r="O14" s="2">
        <f t="shared" si="11"/>
        <v>0.24611108792116967</v>
      </c>
      <c r="P14" s="2">
        <f t="shared" si="3"/>
        <v>1</v>
      </c>
      <c r="Q14" s="2">
        <f t="shared" si="4"/>
        <v>-2.45029690981724E-16</v>
      </c>
      <c r="R14" s="2">
        <f t="shared" si="5"/>
        <v>7.3</v>
      </c>
      <c r="S14" s="2">
        <f t="shared" si="5"/>
        <v>-1.7887167441665852E-15</v>
      </c>
      <c r="T14" s="2">
        <f t="shared" si="12"/>
        <v>7.3831638803463999</v>
      </c>
      <c r="U14" s="2">
        <f t="shared" si="13"/>
        <v>1.1392312376219191E-2</v>
      </c>
    </row>
    <row r="15" spans="1:21" x14ac:dyDescent="0.3">
      <c r="A15" s="20">
        <v>14</v>
      </c>
      <c r="B15" s="21">
        <v>7.1</v>
      </c>
      <c r="C15" s="2">
        <f t="shared" si="16"/>
        <v>2.268928027592628</v>
      </c>
      <c r="D15" s="2">
        <f t="shared" si="14"/>
        <v>-0.64278760968653903</v>
      </c>
      <c r="E15" s="2">
        <f t="shared" si="6"/>
        <v>0.76604444311897835</v>
      </c>
      <c r="F15" s="2">
        <f t="shared" si="15"/>
        <v>-4.5637920287744267</v>
      </c>
      <c r="G15" s="2">
        <f t="shared" si="7"/>
        <v>5.438915546144746</v>
      </c>
      <c r="H15" s="2">
        <f t="shared" si="8"/>
        <v>9.2023915354890935</v>
      </c>
      <c r="I15" s="2">
        <f t="shared" si="9"/>
        <v>0.29611148387170338</v>
      </c>
      <c r="J15" s="2">
        <f t="shared" si="0"/>
        <v>-0.17364817766693119</v>
      </c>
      <c r="K15" s="2">
        <f t="shared" si="1"/>
        <v>-0.98480775301220791</v>
      </c>
      <c r="L15" s="2">
        <f t="shared" si="2"/>
        <v>-1.2329020614352113</v>
      </c>
      <c r="M15" s="2">
        <f t="shared" si="2"/>
        <v>-6.992135046386676</v>
      </c>
      <c r="N15" s="2">
        <f t="shared" si="10"/>
        <v>9.0802475415635566</v>
      </c>
      <c r="O15" s="2">
        <f t="shared" si="11"/>
        <v>0.2789081044455714</v>
      </c>
      <c r="P15" s="2">
        <f t="shared" si="3"/>
        <v>0.86602540378443904</v>
      </c>
      <c r="Q15" s="2">
        <f t="shared" si="4"/>
        <v>0.49999999999999928</v>
      </c>
      <c r="R15" s="2">
        <f t="shared" si="5"/>
        <v>6.1487803668695165</v>
      </c>
      <c r="S15" s="2">
        <f t="shared" si="5"/>
        <v>3.5499999999999945</v>
      </c>
      <c r="T15" s="2">
        <f t="shared" si="12"/>
        <v>6.886259243352491</v>
      </c>
      <c r="U15" s="2">
        <f t="shared" si="13"/>
        <v>3.0104331922184323E-2</v>
      </c>
    </row>
    <row r="16" spans="1:21" x14ac:dyDescent="0.3">
      <c r="A16" s="20">
        <v>15</v>
      </c>
      <c r="B16" s="21">
        <v>7.6</v>
      </c>
      <c r="C16" s="2">
        <f t="shared" si="16"/>
        <v>2.4434609527920608</v>
      </c>
      <c r="D16" s="2">
        <f t="shared" si="14"/>
        <v>-0.76604444311897768</v>
      </c>
      <c r="E16" s="2">
        <f t="shared" si="6"/>
        <v>0.64278760968653981</v>
      </c>
      <c r="F16" s="2">
        <f t="shared" si="15"/>
        <v>-5.8219377677042301</v>
      </c>
      <c r="G16" s="2">
        <f t="shared" si="7"/>
        <v>4.8851858336177019</v>
      </c>
      <c r="H16" s="2">
        <f t="shared" si="8"/>
        <v>9.2007609951125424</v>
      </c>
      <c r="I16" s="2">
        <f t="shared" si="9"/>
        <v>0.21062644672533459</v>
      </c>
      <c r="J16" s="2">
        <f t="shared" si="0"/>
        <v>0.17364817766692908</v>
      </c>
      <c r="K16" s="2">
        <f t="shared" si="1"/>
        <v>-0.98480775301220824</v>
      </c>
      <c r="L16" s="2">
        <f t="shared" si="2"/>
        <v>1.319726150268661</v>
      </c>
      <c r="M16" s="2">
        <f t="shared" si="2"/>
        <v>-7.4845389228927823</v>
      </c>
      <c r="N16" s="2">
        <f t="shared" si="10"/>
        <v>9.0799786673543252</v>
      </c>
      <c r="O16" s="2">
        <f t="shared" si="11"/>
        <v>0.19473403517820073</v>
      </c>
      <c r="P16" s="2">
        <f t="shared" si="3"/>
        <v>0.50000000000000122</v>
      </c>
      <c r="Q16" s="2">
        <f t="shared" si="4"/>
        <v>0.86602540378443793</v>
      </c>
      <c r="R16" s="2">
        <f t="shared" si="5"/>
        <v>3.8000000000000091</v>
      </c>
      <c r="S16" s="2">
        <f t="shared" si="5"/>
        <v>6.5817930687617281</v>
      </c>
      <c r="T16" s="2">
        <f t="shared" si="12"/>
        <v>6.9933265251193193</v>
      </c>
      <c r="U16" s="2">
        <f t="shared" si="13"/>
        <v>7.9825457221142149E-2</v>
      </c>
    </row>
    <row r="17" spans="1:21" x14ac:dyDescent="0.3">
      <c r="A17" s="20">
        <v>16</v>
      </c>
      <c r="B17" s="21">
        <v>7.6</v>
      </c>
      <c r="C17" s="2">
        <f t="shared" si="16"/>
        <v>2.6179938779914935</v>
      </c>
      <c r="D17" s="2">
        <f t="shared" si="14"/>
        <v>-0.86602540378443826</v>
      </c>
      <c r="E17" s="2">
        <f t="shared" si="6"/>
        <v>0.50000000000000078</v>
      </c>
      <c r="F17" s="2">
        <f t="shared" si="15"/>
        <v>-6.5817930687617308</v>
      </c>
      <c r="G17" s="2">
        <f t="shared" si="7"/>
        <v>3.8000000000000056</v>
      </c>
      <c r="H17" s="2">
        <f t="shared" si="8"/>
        <v>9.2005421556112008</v>
      </c>
      <c r="I17" s="2">
        <f t="shared" si="9"/>
        <v>0.21059765205410544</v>
      </c>
      <c r="J17" s="2">
        <f t="shared" si="0"/>
        <v>0.49999999999999856</v>
      </c>
      <c r="K17" s="2">
        <f t="shared" si="1"/>
        <v>-0.86602540378443948</v>
      </c>
      <c r="L17" s="2">
        <f t="shared" si="2"/>
        <v>3.7999999999999887</v>
      </c>
      <c r="M17" s="2">
        <f t="shared" si="2"/>
        <v>-6.5817930687617396</v>
      </c>
      <c r="N17" s="2">
        <f t="shared" si="10"/>
        <v>9.0956896253052513</v>
      </c>
      <c r="O17" s="2">
        <f t="shared" si="11"/>
        <v>0.19680126648753313</v>
      </c>
      <c r="P17" s="2">
        <f t="shared" si="3"/>
        <v>2.0826439531274055E-15</v>
      </c>
      <c r="Q17" s="2">
        <f t="shared" si="4"/>
        <v>1</v>
      </c>
      <c r="R17" s="2">
        <f t="shared" si="5"/>
        <v>1.5828094043768281E-14</v>
      </c>
      <c r="S17" s="2">
        <f t="shared" si="5"/>
        <v>7.6</v>
      </c>
      <c r="T17" s="2">
        <f t="shared" si="12"/>
        <v>7.6754903954428446</v>
      </c>
      <c r="U17" s="2">
        <f t="shared" si="13"/>
        <v>9.9329467687953917E-3</v>
      </c>
    </row>
    <row r="18" spans="1:21" x14ac:dyDescent="0.3">
      <c r="A18" s="20">
        <v>17</v>
      </c>
      <c r="B18" s="21">
        <v>8.5</v>
      </c>
      <c r="C18" s="2">
        <f t="shared" si="16"/>
        <v>2.7925268031909263</v>
      </c>
      <c r="D18" s="2">
        <f t="shared" si="14"/>
        <v>-0.93969262078590798</v>
      </c>
      <c r="E18" s="2">
        <f t="shared" si="6"/>
        <v>0.34202014332566971</v>
      </c>
      <c r="F18" s="2">
        <f t="shared" si="15"/>
        <v>-7.9873872766802183</v>
      </c>
      <c r="G18" s="2">
        <f t="shared" si="7"/>
        <v>2.9071712182681924</v>
      </c>
      <c r="H18" s="2">
        <f t="shared" si="8"/>
        <v>9.2017416663125857</v>
      </c>
      <c r="I18" s="2">
        <f t="shared" si="9"/>
        <v>8.2557843095598327E-2</v>
      </c>
      <c r="J18" s="2">
        <f t="shared" si="0"/>
        <v>0.76604444311897668</v>
      </c>
      <c r="K18" s="2">
        <f t="shared" si="1"/>
        <v>-0.64278760968654092</v>
      </c>
      <c r="L18" s="2">
        <f t="shared" si="2"/>
        <v>6.511377766511302</v>
      </c>
      <c r="M18" s="2">
        <f t="shared" si="2"/>
        <v>-5.4636946823355981</v>
      </c>
      <c r="N18" s="2">
        <f t="shared" si="10"/>
        <v>9.125465696072343</v>
      </c>
      <c r="O18" s="2">
        <f t="shared" si="11"/>
        <v>7.3584199537922709E-2</v>
      </c>
      <c r="P18" s="2">
        <f t="shared" si="3"/>
        <v>-0.49999999999999767</v>
      </c>
      <c r="Q18" s="2">
        <f t="shared" si="4"/>
        <v>0.86602540378444004</v>
      </c>
      <c r="R18" s="2">
        <f t="shared" si="5"/>
        <v>-4.2499999999999805</v>
      </c>
      <c r="S18" s="2">
        <f t="shared" si="5"/>
        <v>7.36121593216774</v>
      </c>
      <c r="T18" s="2">
        <f t="shared" si="12"/>
        <v>8.7522606153154712</v>
      </c>
      <c r="U18" s="2">
        <f t="shared" si="13"/>
        <v>2.967771944887896E-2</v>
      </c>
    </row>
    <row r="19" spans="1:21" x14ac:dyDescent="0.3">
      <c r="A19" s="20">
        <v>18</v>
      </c>
      <c r="B19" s="21">
        <v>9.8000000000000007</v>
      </c>
      <c r="C19" s="2">
        <f t="shared" si="16"/>
        <v>2.967059728390359</v>
      </c>
      <c r="D19" s="2">
        <f t="shared" si="14"/>
        <v>-0.9848077530122078</v>
      </c>
      <c r="E19" s="2">
        <f t="shared" si="6"/>
        <v>0.17364817766693158</v>
      </c>
      <c r="F19" s="2">
        <f t="shared" si="15"/>
        <v>-9.6511159795196377</v>
      </c>
      <c r="G19" s="2">
        <f t="shared" si="7"/>
        <v>1.7017521411359295</v>
      </c>
      <c r="H19" s="2">
        <f t="shared" si="8"/>
        <v>9.2043230806910117</v>
      </c>
      <c r="I19" s="2">
        <f t="shared" si="9"/>
        <v>6.0783359113162141E-2</v>
      </c>
      <c r="J19" s="2">
        <f t="shared" si="0"/>
        <v>0.93969262078590754</v>
      </c>
      <c r="K19" s="2">
        <f t="shared" si="1"/>
        <v>-0.3420201433256711</v>
      </c>
      <c r="L19" s="2">
        <f t="shared" si="2"/>
        <v>9.2089876837018938</v>
      </c>
      <c r="M19" s="2">
        <f t="shared" si="2"/>
        <v>-3.351797404591577</v>
      </c>
      <c r="N19" s="2">
        <f t="shared" si="10"/>
        <v>9.1658236782408746</v>
      </c>
      <c r="O19" s="2">
        <f t="shared" si="11"/>
        <v>6.471186956725776E-2</v>
      </c>
      <c r="P19" s="2">
        <f t="shared" si="3"/>
        <v>-0.86602540378443704</v>
      </c>
      <c r="Q19" s="2">
        <f t="shared" si="4"/>
        <v>0.50000000000000289</v>
      </c>
      <c r="R19" s="2">
        <f t="shared" si="5"/>
        <v>-8.4870489570874827</v>
      </c>
      <c r="S19" s="2">
        <f t="shared" si="5"/>
        <v>4.9000000000000288</v>
      </c>
      <c r="T19" s="2">
        <f t="shared" si="12"/>
        <v>9.9396127465895301</v>
      </c>
      <c r="U19" s="2">
        <f t="shared" si="13"/>
        <v>1.424619863158463E-2</v>
      </c>
    </row>
    <row r="20" spans="1:21" x14ac:dyDescent="0.3">
      <c r="A20" s="20">
        <v>19</v>
      </c>
      <c r="B20" s="21">
        <v>10.9</v>
      </c>
      <c r="C20" s="2">
        <f t="shared" si="16"/>
        <v>3.1415926535897918</v>
      </c>
      <c r="D20" s="2">
        <f t="shared" si="14"/>
        <v>-1</v>
      </c>
      <c r="E20" s="2">
        <f t="shared" si="6"/>
        <v>1.4547824750410498E-15</v>
      </c>
      <c r="F20" s="2">
        <f t="shared" si="15"/>
        <v>-10.9</v>
      </c>
      <c r="G20" s="2">
        <f t="shared" si="7"/>
        <v>1.5857128977947445E-14</v>
      </c>
      <c r="H20" s="2">
        <f t="shared" si="8"/>
        <v>9.2082079637768501</v>
      </c>
      <c r="I20" s="2">
        <f t="shared" si="9"/>
        <v>0.15521027855258257</v>
      </c>
      <c r="J20" s="2">
        <f t="shared" si="0"/>
        <v>1</v>
      </c>
      <c r="K20" s="2">
        <f t="shared" si="1"/>
        <v>-2.9095649500820997E-15</v>
      </c>
      <c r="L20" s="2">
        <f t="shared" si="2"/>
        <v>10.9</v>
      </c>
      <c r="M20" s="2">
        <f t="shared" si="2"/>
        <v>-3.1714257955894889E-14</v>
      </c>
      <c r="N20" s="2">
        <f t="shared" si="10"/>
        <v>9.2121287252429731</v>
      </c>
      <c r="O20" s="2">
        <f t="shared" si="11"/>
        <v>0.15485057566578231</v>
      </c>
      <c r="P20" s="2">
        <f t="shared" si="3"/>
        <v>-1</v>
      </c>
      <c r="Q20" s="2">
        <f t="shared" si="4"/>
        <v>3.9202582152730869E-15</v>
      </c>
      <c r="R20" s="2">
        <f t="shared" si="5"/>
        <v>-10.9</v>
      </c>
      <c r="S20" s="2">
        <f t="shared" si="5"/>
        <v>4.2730814546476649E-14</v>
      </c>
      <c r="T20" s="2">
        <f t="shared" si="12"/>
        <v>10.925575786721106</v>
      </c>
      <c r="U20" s="2">
        <f t="shared" si="13"/>
        <v>2.3464024514776092E-3</v>
      </c>
    </row>
    <row r="21" spans="1:21" x14ac:dyDescent="0.3">
      <c r="A21" s="20">
        <v>20</v>
      </c>
      <c r="B21" s="21">
        <v>11.7</v>
      </c>
      <c r="C21" s="2">
        <f t="shared" si="16"/>
        <v>3.3161255787892245</v>
      </c>
      <c r="D21" s="2">
        <f t="shared" si="14"/>
        <v>-0.98480775301220835</v>
      </c>
      <c r="E21" s="2">
        <f t="shared" si="6"/>
        <v>-0.17364817766692872</v>
      </c>
      <c r="F21" s="2">
        <f t="shared" si="15"/>
        <v>-11.522250710242837</v>
      </c>
      <c r="G21" s="2">
        <f t="shared" si="7"/>
        <v>-2.0316836787030659</v>
      </c>
      <c r="H21" s="2">
        <f t="shared" si="8"/>
        <v>9.2132782753633826</v>
      </c>
      <c r="I21" s="2">
        <f t="shared" si="9"/>
        <v>0.21254031834500997</v>
      </c>
      <c r="J21" s="2">
        <f t="shared" si="0"/>
        <v>0.93969262078590954</v>
      </c>
      <c r="K21" s="2">
        <f t="shared" si="1"/>
        <v>0.3420201433256656</v>
      </c>
      <c r="L21" s="2">
        <f t="shared" si="2"/>
        <v>10.994403663195142</v>
      </c>
      <c r="M21" s="2">
        <f t="shared" si="2"/>
        <v>4.0016356769102872</v>
      </c>
      <c r="N21" s="2">
        <f t="shared" si="10"/>
        <v>9.259146299048675</v>
      </c>
      <c r="O21" s="2">
        <f t="shared" si="11"/>
        <v>0.20861997444028413</v>
      </c>
      <c r="P21" s="2">
        <f t="shared" si="3"/>
        <v>-0.86602540378444093</v>
      </c>
      <c r="Q21" s="2">
        <f t="shared" si="4"/>
        <v>-0.49999999999999606</v>
      </c>
      <c r="R21" s="2">
        <f t="shared" si="5"/>
        <v>-10.132497224277959</v>
      </c>
      <c r="S21" s="2">
        <f t="shared" si="5"/>
        <v>-5.8499999999999535</v>
      </c>
      <c r="T21" s="2">
        <f t="shared" si="12"/>
        <v>11.453134597259739</v>
      </c>
      <c r="U21" s="2">
        <f t="shared" si="13"/>
        <v>2.1099607071817128E-2</v>
      </c>
    </row>
    <row r="22" spans="1:21" x14ac:dyDescent="0.3">
      <c r="A22" s="20">
        <v>21</v>
      </c>
      <c r="B22" s="21">
        <v>11.7</v>
      </c>
      <c r="C22" s="2">
        <f t="shared" si="16"/>
        <v>3.4906585039886573</v>
      </c>
      <c r="D22" s="2">
        <f t="shared" si="14"/>
        <v>-0.93969262078590898</v>
      </c>
      <c r="E22" s="2">
        <f t="shared" si="6"/>
        <v>-0.34202014332566699</v>
      </c>
      <c r="F22" s="2">
        <f t="shared" si="15"/>
        <v>-10.994403663195135</v>
      </c>
      <c r="G22" s="2">
        <f t="shared" si="7"/>
        <v>-4.0016356769103032</v>
      </c>
      <c r="H22" s="2">
        <f t="shared" si="8"/>
        <v>9.2193799565987575</v>
      </c>
      <c r="I22" s="2">
        <f t="shared" si="9"/>
        <v>0.21201880712831128</v>
      </c>
      <c r="J22" s="2">
        <f t="shared" si="0"/>
        <v>0.76604444311898046</v>
      </c>
      <c r="K22" s="2">
        <f t="shared" si="1"/>
        <v>0.64278760968653648</v>
      </c>
      <c r="L22" s="2">
        <f t="shared" si="2"/>
        <v>8.96271998449207</v>
      </c>
      <c r="M22" s="2">
        <f t="shared" si="2"/>
        <v>7.5206150333324766</v>
      </c>
      <c r="N22" s="2">
        <f t="shared" si="10"/>
        <v>9.3016628819068394</v>
      </c>
      <c r="O22" s="2">
        <f t="shared" si="11"/>
        <v>0.20498607846950084</v>
      </c>
      <c r="P22" s="2">
        <f t="shared" si="3"/>
        <v>-0.50000000000000444</v>
      </c>
      <c r="Q22" s="2">
        <f t="shared" si="4"/>
        <v>-0.86602540378443604</v>
      </c>
      <c r="R22" s="2">
        <f t="shared" si="5"/>
        <v>-5.8500000000000512</v>
      </c>
      <c r="S22" s="2">
        <f t="shared" si="5"/>
        <v>-10.132497224277902</v>
      </c>
      <c r="T22" s="2">
        <f t="shared" si="12"/>
        <v>11.388315024141848</v>
      </c>
      <c r="U22" s="2">
        <f t="shared" si="13"/>
        <v>2.6639741526337715E-2</v>
      </c>
    </row>
    <row r="23" spans="1:21" x14ac:dyDescent="0.3">
      <c r="A23" s="20">
        <v>22</v>
      </c>
      <c r="B23" s="21">
        <v>10.4</v>
      </c>
      <c r="C23" s="2">
        <f t="shared" si="16"/>
        <v>3.66519142918809</v>
      </c>
      <c r="D23" s="2">
        <f t="shared" si="14"/>
        <v>-0.86602540378443971</v>
      </c>
      <c r="E23" s="2">
        <f t="shared" si="6"/>
        <v>-0.49999999999999822</v>
      </c>
      <c r="F23" s="2">
        <f t="shared" si="15"/>
        <v>-9.0066641993581733</v>
      </c>
      <c r="G23" s="2">
        <f t="shared" si="7"/>
        <v>-5.1999999999999815</v>
      </c>
      <c r="H23" s="2">
        <f t="shared" si="8"/>
        <v>9.2263276109862336</v>
      </c>
      <c r="I23" s="2">
        <f t="shared" si="9"/>
        <v>0.11285311432824681</v>
      </c>
      <c r="J23" s="2">
        <f t="shared" si="0"/>
        <v>0.50000000000000355</v>
      </c>
      <c r="K23" s="2">
        <f t="shared" si="1"/>
        <v>0.8660254037844366</v>
      </c>
      <c r="L23" s="2">
        <f t="shared" si="2"/>
        <v>5.2000000000000375</v>
      </c>
      <c r="M23" s="2">
        <f t="shared" si="2"/>
        <v>9.0066641993581413</v>
      </c>
      <c r="N23" s="2">
        <f t="shared" si="10"/>
        <v>9.3351009027583043</v>
      </c>
      <c r="O23" s="2">
        <f t="shared" si="11"/>
        <v>0.10239414396554769</v>
      </c>
      <c r="P23" s="2">
        <f t="shared" si="3"/>
        <v>-5.7578724774187684E-15</v>
      </c>
      <c r="Q23" s="2">
        <f t="shared" si="4"/>
        <v>-1</v>
      </c>
      <c r="R23" s="2">
        <f t="shared" si="5"/>
        <v>-5.9881873765155196E-14</v>
      </c>
      <c r="S23" s="2">
        <f t="shared" si="5"/>
        <v>-10.4</v>
      </c>
      <c r="T23" s="2">
        <f t="shared" si="12"/>
        <v>10.755300132620718</v>
      </c>
      <c r="U23" s="2">
        <f t="shared" si="13"/>
        <v>3.4163474290453626E-2</v>
      </c>
    </row>
    <row r="24" spans="1:21" x14ac:dyDescent="0.3">
      <c r="A24" s="20">
        <v>23</v>
      </c>
      <c r="B24" s="21">
        <v>9.6999999999999993</v>
      </c>
      <c r="C24" s="2">
        <f t="shared" si="16"/>
        <v>3.8397243543875228</v>
      </c>
      <c r="D24" s="2">
        <f t="shared" si="14"/>
        <v>-0.76604444311897946</v>
      </c>
      <c r="E24" s="2">
        <f t="shared" si="6"/>
        <v>-0.64278760968653759</v>
      </c>
      <c r="F24" s="2">
        <f t="shared" si="15"/>
        <v>-7.4306310982541</v>
      </c>
      <c r="G24" s="2">
        <f t="shared" si="7"/>
        <v>-6.2350398139594141</v>
      </c>
      <c r="H24" s="2">
        <f t="shared" si="8"/>
        <v>9.2339101375629333</v>
      </c>
      <c r="I24" s="2">
        <f t="shared" si="9"/>
        <v>4.8050501282171754E-2</v>
      </c>
      <c r="J24" s="2">
        <f t="shared" si="0"/>
        <v>0.17364817766693483</v>
      </c>
      <c r="K24" s="2">
        <f t="shared" si="1"/>
        <v>0.98480775301220724</v>
      </c>
      <c r="L24" s="2">
        <f t="shared" si="2"/>
        <v>1.6843873233692677</v>
      </c>
      <c r="M24" s="2">
        <f t="shared" si="2"/>
        <v>9.5526352042184097</v>
      </c>
      <c r="N24" s="2">
        <f t="shared" si="10"/>
        <v>9.3560541314884702</v>
      </c>
      <c r="O24" s="2">
        <f t="shared" si="11"/>
        <v>3.5458336959951452E-2</v>
      </c>
      <c r="P24" s="2">
        <f t="shared" si="3"/>
        <v>0.4999999999999945</v>
      </c>
      <c r="Q24" s="2">
        <f t="shared" si="4"/>
        <v>-0.86602540378444182</v>
      </c>
      <c r="R24" s="2">
        <f t="shared" si="5"/>
        <v>4.8499999999999464</v>
      </c>
      <c r="S24" s="2">
        <f t="shared" si="5"/>
        <v>-8.4004464167090855</v>
      </c>
      <c r="T24" s="2">
        <f t="shared" si="12"/>
        <v>9.729259212245351</v>
      </c>
      <c r="U24" s="2">
        <f t="shared" si="13"/>
        <v>3.0164136335414089E-3</v>
      </c>
    </row>
    <row r="25" spans="1:21" x14ac:dyDescent="0.3">
      <c r="A25" s="20">
        <v>24</v>
      </c>
      <c r="B25" s="21">
        <v>8.3000000000000007</v>
      </c>
      <c r="C25" s="2">
        <f t="shared" si="16"/>
        <v>4.014257279586956</v>
      </c>
      <c r="D25" s="2">
        <f t="shared" si="14"/>
        <v>-0.64278760968654092</v>
      </c>
      <c r="E25" s="2">
        <f t="shared" si="6"/>
        <v>-0.76604444311897668</v>
      </c>
      <c r="F25" s="2">
        <f t="shared" si="15"/>
        <v>-5.3351371603982898</v>
      </c>
      <c r="G25" s="2">
        <f t="shared" si="7"/>
        <v>-6.3581688778875067</v>
      </c>
      <c r="H25" s="2">
        <f t="shared" si="8"/>
        <v>9.2418971450957645</v>
      </c>
      <c r="I25" s="2">
        <f t="shared" si="9"/>
        <v>0.11348158374647756</v>
      </c>
      <c r="J25" s="2">
        <f t="shared" si="0"/>
        <v>-0.17364817766692633</v>
      </c>
      <c r="K25" s="2">
        <f t="shared" si="1"/>
        <v>0.9848077530122088</v>
      </c>
      <c r="L25" s="2">
        <f t="shared" si="2"/>
        <v>-1.4412798746354887</v>
      </c>
      <c r="M25" s="2">
        <f t="shared" si="2"/>
        <v>8.1739043500013331</v>
      </c>
      <c r="N25" s="2">
        <f t="shared" si="10"/>
        <v>9.3626794728539817</v>
      </c>
      <c r="O25" s="2">
        <f t="shared" si="11"/>
        <v>0.12803367142819047</v>
      </c>
      <c r="P25" s="2">
        <f t="shared" si="3"/>
        <v>0.86602540378443515</v>
      </c>
      <c r="Q25" s="2">
        <f t="shared" si="4"/>
        <v>-0.500000000000006</v>
      </c>
      <c r="R25" s="2">
        <f t="shared" si="5"/>
        <v>7.1880108514108123</v>
      </c>
      <c r="S25" s="2">
        <f t="shared" si="5"/>
        <v>-4.1500000000000501</v>
      </c>
      <c r="T25" s="2">
        <f t="shared" si="12"/>
        <v>8.5888904045053334</v>
      </c>
      <c r="U25" s="2">
        <f t="shared" si="13"/>
        <v>3.4806072831967787E-2</v>
      </c>
    </row>
    <row r="26" spans="1:21" x14ac:dyDescent="0.3">
      <c r="A26" s="20">
        <v>25</v>
      </c>
      <c r="B26" s="21">
        <v>7.5</v>
      </c>
      <c r="C26" s="2">
        <f t="shared" si="16"/>
        <v>4.1887902047863887</v>
      </c>
      <c r="D26" s="2">
        <f t="shared" si="14"/>
        <v>-0.50000000000000189</v>
      </c>
      <c r="E26" s="2">
        <f t="shared" si="6"/>
        <v>-0.86602540378443749</v>
      </c>
      <c r="F26" s="2">
        <f t="shared" si="15"/>
        <v>-3.7500000000000142</v>
      </c>
      <c r="G26" s="2">
        <f t="shared" si="7"/>
        <v>-6.4951905283832811</v>
      </c>
      <c r="H26" s="2">
        <f t="shared" si="8"/>
        <v>9.2500459524024645</v>
      </c>
      <c r="I26" s="2">
        <f t="shared" si="9"/>
        <v>0.2333394603203286</v>
      </c>
      <c r="J26" s="2">
        <f t="shared" si="0"/>
        <v>-0.49999999999999611</v>
      </c>
      <c r="K26" s="2">
        <f t="shared" si="1"/>
        <v>0.86602540378444093</v>
      </c>
      <c r="L26" s="2">
        <f t="shared" si="2"/>
        <v>-3.7499999999999707</v>
      </c>
      <c r="M26" s="2">
        <f t="shared" si="2"/>
        <v>6.4951905283833069</v>
      </c>
      <c r="N26" s="2">
        <f t="shared" si="10"/>
        <v>9.3548984827084141</v>
      </c>
      <c r="O26" s="2">
        <f t="shared" si="11"/>
        <v>0.2473197976944552</v>
      </c>
      <c r="P26" s="2">
        <f t="shared" si="3"/>
        <v>1</v>
      </c>
      <c r="Q26" s="2">
        <f t="shared" si="4"/>
        <v>-7.5954867395644499E-15</v>
      </c>
      <c r="R26" s="2">
        <f t="shared" si="5"/>
        <v>7.5</v>
      </c>
      <c r="S26" s="2">
        <f t="shared" si="5"/>
        <v>-5.6966150546733374E-14</v>
      </c>
      <c r="T26" s="2">
        <f t="shared" si="12"/>
        <v>7.6414514212302862</v>
      </c>
      <c r="U26" s="2">
        <f t="shared" si="13"/>
        <v>1.8860189497371494E-2</v>
      </c>
    </row>
    <row r="27" spans="1:21" x14ac:dyDescent="0.3">
      <c r="A27" s="20">
        <v>26</v>
      </c>
      <c r="B27" s="21">
        <v>7.2</v>
      </c>
      <c r="C27" s="2">
        <f t="shared" si="16"/>
        <v>4.3633231299858215</v>
      </c>
      <c r="D27" s="2">
        <f t="shared" si="14"/>
        <v>-0.34202014332567104</v>
      </c>
      <c r="E27" s="2">
        <f t="shared" si="6"/>
        <v>-0.93969262078590754</v>
      </c>
      <c r="F27" s="2">
        <f t="shared" si="15"/>
        <v>-2.4625450319448317</v>
      </c>
      <c r="G27" s="2">
        <f t="shared" si="7"/>
        <v>-6.7657868696585348</v>
      </c>
      <c r="H27" s="2">
        <f t="shared" si="8"/>
        <v>9.2581089620965127</v>
      </c>
      <c r="I27" s="2">
        <f t="shared" si="9"/>
        <v>0.28584846695784893</v>
      </c>
      <c r="J27" s="2">
        <f t="shared" si="0"/>
        <v>-0.7660444431189749</v>
      </c>
      <c r="K27" s="2">
        <f t="shared" si="1"/>
        <v>0.64278760968654303</v>
      </c>
      <c r="L27" s="2">
        <f t="shared" si="2"/>
        <v>-5.5155199904566192</v>
      </c>
      <c r="M27" s="2">
        <f t="shared" si="2"/>
        <v>4.6280707897431101</v>
      </c>
      <c r="N27" s="2">
        <f t="shared" si="10"/>
        <v>9.3343849323367554</v>
      </c>
      <c r="O27" s="2">
        <f t="shared" si="11"/>
        <v>0.29644235171343819</v>
      </c>
      <c r="P27" s="2">
        <f t="shared" si="3"/>
        <v>0.8660254037844427</v>
      </c>
      <c r="Q27" s="2">
        <f t="shared" si="4"/>
        <v>0.49999999999999289</v>
      </c>
      <c r="R27" s="2">
        <f t="shared" si="5"/>
        <v>6.2353829072479874</v>
      </c>
      <c r="S27" s="2">
        <f t="shared" si="5"/>
        <v>3.599999999999949</v>
      </c>
      <c r="T27" s="2">
        <f t="shared" si="12"/>
        <v>7.1403966341256933</v>
      </c>
      <c r="U27" s="2">
        <f t="shared" si="13"/>
        <v>8.2782452603204059E-3</v>
      </c>
    </row>
    <row r="28" spans="1:21" x14ac:dyDescent="0.3">
      <c r="A28" s="20">
        <v>27</v>
      </c>
      <c r="B28" s="21">
        <v>8.1</v>
      </c>
      <c r="C28" s="2">
        <f t="shared" si="16"/>
        <v>4.5378560551852543</v>
      </c>
      <c r="D28" s="2">
        <f t="shared" si="14"/>
        <v>-0.17364817766693294</v>
      </c>
      <c r="E28" s="2">
        <f t="shared" si="6"/>
        <v>-0.98480775301220758</v>
      </c>
      <c r="F28" s="2">
        <f t="shared" si="15"/>
        <v>-1.4065502391021567</v>
      </c>
      <c r="G28" s="2">
        <f t="shared" si="7"/>
        <v>-7.9769427993988806</v>
      </c>
      <c r="H28" s="2">
        <f t="shared" si="8"/>
        <v>9.2658411837084387</v>
      </c>
      <c r="I28" s="2">
        <f t="shared" si="9"/>
        <v>0.14393101033437519</v>
      </c>
      <c r="J28" s="2">
        <f t="shared" si="0"/>
        <v>-0.93969262078590654</v>
      </c>
      <c r="K28" s="2">
        <f t="shared" si="1"/>
        <v>0.34202014332567371</v>
      </c>
      <c r="L28" s="2">
        <f t="shared" si="2"/>
        <v>-7.6115102283658427</v>
      </c>
      <c r="M28" s="2">
        <f t="shared" si="2"/>
        <v>2.7703631609379569</v>
      </c>
      <c r="N28" s="2">
        <f t="shared" si="10"/>
        <v>9.3043405861585757</v>
      </c>
      <c r="O28" s="2">
        <f t="shared" si="11"/>
        <v>0.14868402298254027</v>
      </c>
      <c r="P28" s="2">
        <f t="shared" si="3"/>
        <v>0.50000000000000766</v>
      </c>
      <c r="Q28" s="2">
        <f t="shared" si="4"/>
        <v>0.86602540378443427</v>
      </c>
      <c r="R28" s="2">
        <f t="shared" si="5"/>
        <v>4.050000000000062</v>
      </c>
      <c r="S28" s="2">
        <f t="shared" si="5"/>
        <v>7.0148057706539175</v>
      </c>
      <c r="T28" s="2">
        <f t="shared" si="12"/>
        <v>7.2176884439235636</v>
      </c>
      <c r="U28" s="2">
        <f t="shared" si="13"/>
        <v>0.10892735260202915</v>
      </c>
    </row>
    <row r="29" spans="1:21" x14ac:dyDescent="0.3">
      <c r="A29" s="20">
        <v>28</v>
      </c>
      <c r="B29" s="21">
        <v>7.8</v>
      </c>
      <c r="C29" s="2">
        <f t="shared" si="16"/>
        <v>4.712388980384687</v>
      </c>
      <c r="D29" s="2">
        <f t="shared" si="14"/>
        <v>-2.8483075273366687E-15</v>
      </c>
      <c r="E29" s="2">
        <f t="shared" si="6"/>
        <v>-1</v>
      </c>
      <c r="F29" s="2">
        <f t="shared" si="15"/>
        <v>-2.2216798713226015E-14</v>
      </c>
      <c r="G29" s="2">
        <f t="shared" si="7"/>
        <v>-7.8</v>
      </c>
      <c r="H29" s="2">
        <f t="shared" si="8"/>
        <v>9.2730076775972563</v>
      </c>
      <c r="I29" s="2">
        <f t="shared" si="9"/>
        <v>0.18884713815349444</v>
      </c>
      <c r="J29" s="2">
        <f t="shared" si="0"/>
        <v>-1</v>
      </c>
      <c r="K29" s="2">
        <f t="shared" si="1"/>
        <v>5.6966150546733374E-15</v>
      </c>
      <c r="L29" s="2">
        <f t="shared" si="2"/>
        <v>-7.8</v>
      </c>
      <c r="M29" s="2">
        <f t="shared" si="2"/>
        <v>4.4433597426452029E-14</v>
      </c>
      <c r="N29" s="2">
        <f t="shared" si="10"/>
        <v>9.2690869161311333</v>
      </c>
      <c r="O29" s="2">
        <f t="shared" si="11"/>
        <v>0.18834447642706839</v>
      </c>
      <c r="P29" s="2">
        <f t="shared" si="3"/>
        <v>9.4331010017101313E-15</v>
      </c>
      <c r="Q29" s="2">
        <f t="shared" si="4"/>
        <v>1</v>
      </c>
      <c r="R29" s="2">
        <f t="shared" si="5"/>
        <v>7.3578187813339024E-14</v>
      </c>
      <c r="S29" s="2">
        <f t="shared" si="5"/>
        <v>7.8</v>
      </c>
      <c r="T29" s="2">
        <f t="shared" si="12"/>
        <v>7.8488876862687142</v>
      </c>
      <c r="U29" s="2">
        <f t="shared" si="13"/>
        <v>6.2676520857326183E-3</v>
      </c>
    </row>
    <row r="30" spans="1:21" x14ac:dyDescent="0.3">
      <c r="A30" s="20">
        <v>29</v>
      </c>
      <c r="B30" s="21">
        <v>8.8000000000000007</v>
      </c>
      <c r="C30" s="2">
        <f t="shared" si="16"/>
        <v>4.8869219055841198</v>
      </c>
      <c r="D30" s="2">
        <f t="shared" si="14"/>
        <v>0.17364817766692733</v>
      </c>
      <c r="E30" s="2">
        <f t="shared" si="6"/>
        <v>-0.98480775301220858</v>
      </c>
      <c r="F30" s="2">
        <f t="shared" si="15"/>
        <v>1.5281039634689606</v>
      </c>
      <c r="G30" s="2">
        <f t="shared" si="7"/>
        <v>-8.6663082265074358</v>
      </c>
      <c r="H30" s="2">
        <f t="shared" si="8"/>
        <v>9.2793906934725712</v>
      </c>
      <c r="I30" s="2">
        <f t="shared" si="9"/>
        <v>5.4476215167337548E-2</v>
      </c>
      <c r="J30" s="2">
        <f t="shared" si="0"/>
        <v>-0.93969262078591043</v>
      </c>
      <c r="K30" s="2">
        <f t="shared" si="1"/>
        <v>-0.342020143325663</v>
      </c>
      <c r="L30" s="2">
        <f t="shared" si="2"/>
        <v>-8.2692950629160116</v>
      </c>
      <c r="M30" s="2">
        <f t="shared" si="2"/>
        <v>-3.0097772612658344</v>
      </c>
      <c r="N30" s="2">
        <f t="shared" si="10"/>
        <v>9.2335226697872805</v>
      </c>
      <c r="O30" s="2">
        <f t="shared" si="11"/>
        <v>4.9263939748554524E-2</v>
      </c>
      <c r="P30" s="2">
        <f t="shared" si="3"/>
        <v>-0.49999999999999128</v>
      </c>
      <c r="Q30" s="2">
        <f t="shared" si="4"/>
        <v>0.8660254037844437</v>
      </c>
      <c r="R30" s="2">
        <f t="shared" si="5"/>
        <v>-4.399999999999924</v>
      </c>
      <c r="S30" s="2">
        <f t="shared" si="5"/>
        <v>7.6210235533031048</v>
      </c>
      <c r="T30" s="2">
        <f t="shared" si="12"/>
        <v>8.8603175890303909</v>
      </c>
      <c r="U30" s="2">
        <f t="shared" si="13"/>
        <v>6.854271480726158E-3</v>
      </c>
    </row>
    <row r="31" spans="1:21" x14ac:dyDescent="0.3">
      <c r="A31" s="20">
        <v>30</v>
      </c>
      <c r="B31" s="21">
        <v>9.1</v>
      </c>
      <c r="C31" s="2">
        <f t="shared" si="16"/>
        <v>5.0614548307835525</v>
      </c>
      <c r="D31" s="2">
        <f t="shared" si="14"/>
        <v>0.34202014332566566</v>
      </c>
      <c r="E31" s="2">
        <f t="shared" si="6"/>
        <v>-0.93969262078590954</v>
      </c>
      <c r="F31" s="2">
        <f t="shared" si="15"/>
        <v>3.1123833042635574</v>
      </c>
      <c r="G31" s="2">
        <f t="shared" si="7"/>
        <v>-8.5512028491517764</v>
      </c>
      <c r="H31" s="2">
        <f t="shared" si="8"/>
        <v>9.2847962866269764</v>
      </c>
      <c r="I31" s="2">
        <f t="shared" si="9"/>
        <v>2.0307284244722723E-2</v>
      </c>
      <c r="J31" s="2">
        <f t="shared" si="0"/>
        <v>-0.76604444311898223</v>
      </c>
      <c r="K31" s="2">
        <f t="shared" si="1"/>
        <v>-0.64278760968653437</v>
      </c>
      <c r="L31" s="2">
        <f t="shared" si="2"/>
        <v>-6.9710044323827383</v>
      </c>
      <c r="M31" s="2">
        <f t="shared" si="2"/>
        <v>-5.8493672481474626</v>
      </c>
      <c r="N31" s="2">
        <f t="shared" si="10"/>
        <v>9.2025133613188945</v>
      </c>
      <c r="O31" s="2">
        <f t="shared" si="11"/>
        <v>1.12652045405379E-2</v>
      </c>
      <c r="P31" s="2">
        <f t="shared" si="3"/>
        <v>-0.86602540378443327</v>
      </c>
      <c r="Q31" s="2">
        <f t="shared" si="4"/>
        <v>0.50000000000000921</v>
      </c>
      <c r="R31" s="2">
        <f t="shared" si="5"/>
        <v>-7.8808311744383426</v>
      </c>
      <c r="S31" s="2">
        <f t="shared" si="5"/>
        <v>4.5500000000000833</v>
      </c>
      <c r="T31" s="2">
        <f t="shared" si="12"/>
        <v>9.9763024296675358</v>
      </c>
      <c r="U31" s="2">
        <f t="shared" si="13"/>
        <v>9.6296970293135845E-2</v>
      </c>
    </row>
    <row r="32" spans="1:21" x14ac:dyDescent="0.3">
      <c r="A32" s="20">
        <v>31</v>
      </c>
      <c r="B32" s="21">
        <v>10.8</v>
      </c>
      <c r="C32" s="2">
        <f t="shared" si="16"/>
        <v>5.2359877559829853</v>
      </c>
      <c r="D32" s="2">
        <f t="shared" si="14"/>
        <v>0.499999999999997</v>
      </c>
      <c r="E32" s="2">
        <f t="shared" si="6"/>
        <v>-0.86602540378444037</v>
      </c>
      <c r="F32" s="2">
        <f t="shared" si="15"/>
        <v>5.3999999999999684</v>
      </c>
      <c r="G32" s="2">
        <f t="shared" si="7"/>
        <v>-9.3530743608719558</v>
      </c>
      <c r="H32" s="2">
        <f t="shared" si="8"/>
        <v>9.289060210847838</v>
      </c>
      <c r="I32" s="2">
        <f t="shared" si="9"/>
        <v>0.13990183232890396</v>
      </c>
      <c r="J32" s="2">
        <f t="shared" si="0"/>
        <v>-0.500000000000006</v>
      </c>
      <c r="K32" s="2">
        <f t="shared" si="1"/>
        <v>-0.86602540378443515</v>
      </c>
      <c r="L32" s="2">
        <f t="shared" si="2"/>
        <v>-5.4000000000000652</v>
      </c>
      <c r="M32" s="2">
        <f t="shared" si="2"/>
        <v>-9.3530743608719007</v>
      </c>
      <c r="N32" s="2">
        <f t="shared" si="10"/>
        <v>9.1802869190757672</v>
      </c>
      <c r="O32" s="2">
        <f t="shared" si="11"/>
        <v>0.14997343341891051</v>
      </c>
      <c r="P32" s="2">
        <f t="shared" si="3"/>
        <v>-1</v>
      </c>
      <c r="Q32" s="2">
        <f t="shared" si="4"/>
        <v>1.1270715263855813E-14</v>
      </c>
      <c r="R32" s="2">
        <f t="shared" si="5"/>
        <v>-10.8</v>
      </c>
      <c r="S32" s="2">
        <f t="shared" si="5"/>
        <v>1.217237248496428E-13</v>
      </c>
      <c r="T32" s="2">
        <f t="shared" si="12"/>
        <v>10.89373398055389</v>
      </c>
      <c r="U32" s="2">
        <f t="shared" si="13"/>
        <v>8.6790722735082433E-3</v>
      </c>
    </row>
    <row r="33" spans="1:22" x14ac:dyDescent="0.3">
      <c r="A33" s="20">
        <v>32</v>
      </c>
      <c r="B33" s="21">
        <v>12</v>
      </c>
      <c r="C33" s="2">
        <f t="shared" si="16"/>
        <v>5.410520681182418</v>
      </c>
      <c r="D33" s="2">
        <f t="shared" si="14"/>
        <v>0.64278760968653648</v>
      </c>
      <c r="E33" s="2">
        <f t="shared" si="6"/>
        <v>-0.76604444311898034</v>
      </c>
      <c r="F33" s="2">
        <f t="shared" si="15"/>
        <v>7.7134513162384373</v>
      </c>
      <c r="G33" s="2">
        <f t="shared" si="7"/>
        <v>-9.1925333174277633</v>
      </c>
      <c r="H33" s="2">
        <f t="shared" si="8"/>
        <v>9.2920529089553536</v>
      </c>
      <c r="I33" s="2">
        <f t="shared" si="9"/>
        <v>0.22566225758705385</v>
      </c>
      <c r="J33" s="2">
        <f t="shared" si="0"/>
        <v>-0.17364817766693758</v>
      </c>
      <c r="K33" s="2">
        <f t="shared" si="1"/>
        <v>-0.9848077530122068</v>
      </c>
      <c r="L33" s="2">
        <f t="shared" si="2"/>
        <v>-2.0837781320032507</v>
      </c>
      <c r="M33" s="2">
        <f t="shared" si="2"/>
        <v>-11.817693036146482</v>
      </c>
      <c r="N33" s="2">
        <f t="shared" si="10"/>
        <v>9.1699089150298168</v>
      </c>
      <c r="O33" s="2">
        <f t="shared" si="11"/>
        <v>0.23584092374751528</v>
      </c>
      <c r="P33" s="2">
        <f t="shared" si="3"/>
        <v>-0.86602540378444459</v>
      </c>
      <c r="Q33" s="2">
        <f t="shared" si="4"/>
        <v>-0.49999999999998973</v>
      </c>
      <c r="R33" s="2">
        <f t="shared" si="5"/>
        <v>-10.392304845413335</v>
      </c>
      <c r="S33" s="2">
        <f t="shared" si="5"/>
        <v>-5.9999999999998765</v>
      </c>
      <c r="T33" s="2">
        <f t="shared" si="12"/>
        <v>11.363897213240877</v>
      </c>
      <c r="U33" s="2">
        <f t="shared" si="13"/>
        <v>5.3008565563260245E-2</v>
      </c>
    </row>
    <row r="34" spans="1:22" x14ac:dyDescent="0.3">
      <c r="A34" s="20">
        <v>33</v>
      </c>
      <c r="B34" s="21">
        <v>11.8</v>
      </c>
      <c r="C34" s="2">
        <f t="shared" si="16"/>
        <v>5.5850536063818508</v>
      </c>
      <c r="D34" s="2">
        <f t="shared" si="14"/>
        <v>0.76604444311897557</v>
      </c>
      <c r="E34" s="2">
        <f t="shared" si="6"/>
        <v>-0.64278760968654225</v>
      </c>
      <c r="F34" s="2">
        <f t="shared" si="15"/>
        <v>9.0393244288039121</v>
      </c>
      <c r="G34" s="2">
        <f t="shared" si="7"/>
        <v>-7.5848937943011991</v>
      </c>
      <c r="H34" s="2">
        <f t="shared" si="8"/>
        <v>9.2936834493319047</v>
      </c>
      <c r="I34" s="2">
        <f t="shared" si="9"/>
        <v>0.21239970768373695</v>
      </c>
      <c r="J34" s="2">
        <f t="shared" si="0"/>
        <v>0.17364817766692273</v>
      </c>
      <c r="K34" s="2">
        <f t="shared" si="1"/>
        <v>-0.98480775301220935</v>
      </c>
      <c r="L34" s="2">
        <f t="shared" si="2"/>
        <v>2.0490484964696885</v>
      </c>
      <c r="M34" s="2">
        <f t="shared" si="2"/>
        <v>-11.620731485544072</v>
      </c>
      <c r="N34" s="2">
        <f t="shared" si="10"/>
        <v>9.1729011215736875</v>
      </c>
      <c r="O34" s="2">
        <f t="shared" si="11"/>
        <v>0.22263549817172143</v>
      </c>
      <c r="P34" s="2">
        <f t="shared" si="3"/>
        <v>-0.50000000000001077</v>
      </c>
      <c r="Q34" s="2">
        <f t="shared" si="4"/>
        <v>-0.86602540378443238</v>
      </c>
      <c r="R34" s="2">
        <f t="shared" si="5"/>
        <v>-5.9000000000001274</v>
      </c>
      <c r="S34" s="2">
        <f t="shared" si="5"/>
        <v>-10.219099764656303</v>
      </c>
      <c r="T34" s="2">
        <f t="shared" si="12"/>
        <v>11.259553263808701</v>
      </c>
      <c r="U34" s="2">
        <f t="shared" si="13"/>
        <v>4.5800570863669426E-2</v>
      </c>
    </row>
    <row r="35" spans="1:22" x14ac:dyDescent="0.3">
      <c r="A35" s="20">
        <v>34</v>
      </c>
      <c r="B35" s="21">
        <v>10</v>
      </c>
      <c r="C35" s="2">
        <f t="shared" si="16"/>
        <v>5.7595865315812835</v>
      </c>
      <c r="D35" s="2">
        <f t="shared" si="14"/>
        <v>0.8660254037844366</v>
      </c>
      <c r="E35" s="2">
        <f t="shared" si="6"/>
        <v>-0.50000000000000355</v>
      </c>
      <c r="F35" s="2">
        <f t="shared" si="15"/>
        <v>8.660254037844366</v>
      </c>
      <c r="G35" s="2">
        <f t="shared" si="7"/>
        <v>-5.0000000000000355</v>
      </c>
      <c r="H35" s="2">
        <f t="shared" si="8"/>
        <v>9.2939022888332445</v>
      </c>
      <c r="I35" s="2">
        <f t="shared" si="9"/>
        <v>7.0609771116675546E-2</v>
      </c>
      <c r="J35" s="2">
        <f t="shared" si="0"/>
        <v>0.49999999999999295</v>
      </c>
      <c r="K35" s="2">
        <f t="shared" si="1"/>
        <v>-0.8660254037844427</v>
      </c>
      <c r="L35" s="2">
        <f t="shared" si="2"/>
        <v>4.9999999999999298</v>
      </c>
      <c r="M35" s="2">
        <f t="shared" si="2"/>
        <v>-8.6602540378444264</v>
      </c>
      <c r="N35" s="2">
        <f t="shared" si="10"/>
        <v>9.189049758527295</v>
      </c>
      <c r="O35" s="2">
        <f t="shared" si="11"/>
        <v>8.1095024147270503E-2</v>
      </c>
      <c r="P35" s="2">
        <f t="shared" si="3"/>
        <v>-1.3108329526001494E-14</v>
      </c>
      <c r="Q35" s="2">
        <f t="shared" si="4"/>
        <v>-1</v>
      </c>
      <c r="R35" s="2">
        <f t="shared" si="5"/>
        <v>-1.3108329526001494E-13</v>
      </c>
      <c r="S35" s="2">
        <f t="shared" si="5"/>
        <v>-10</v>
      </c>
      <c r="T35" s="2">
        <f t="shared" si="12"/>
        <v>10.609248988389721</v>
      </c>
      <c r="U35" s="2">
        <f t="shared" si="13"/>
        <v>6.0924898838972119E-2</v>
      </c>
    </row>
    <row r="36" spans="1:22" x14ac:dyDescent="0.3">
      <c r="A36" s="20">
        <v>35</v>
      </c>
      <c r="B36" s="21">
        <v>9.1</v>
      </c>
      <c r="C36" s="2">
        <f t="shared" si="16"/>
        <v>5.9341194567807163</v>
      </c>
      <c r="D36" s="2">
        <f t="shared" si="14"/>
        <v>0.93969262078590687</v>
      </c>
      <c r="E36" s="2">
        <f t="shared" si="6"/>
        <v>-0.34202014332567277</v>
      </c>
      <c r="F36" s="2">
        <f t="shared" si="15"/>
        <v>8.5512028491517516</v>
      </c>
      <c r="G36" s="2">
        <f t="shared" si="7"/>
        <v>-3.1123833042636222</v>
      </c>
      <c r="H36" s="2">
        <f t="shared" si="8"/>
        <v>9.2927027781318614</v>
      </c>
      <c r="I36" s="2">
        <f>ABS(H36-$B36)/$B36</f>
        <v>2.1176129465039755E-2</v>
      </c>
      <c r="J36" s="2">
        <f t="shared" si="0"/>
        <v>0.76604444311897257</v>
      </c>
      <c r="K36" s="2">
        <f t="shared" si="1"/>
        <v>-0.64278760968654591</v>
      </c>
      <c r="L36" s="2">
        <f t="shared" si="2"/>
        <v>6.9710044323826503</v>
      </c>
      <c r="M36" s="2">
        <f t="shared" si="2"/>
        <v>-5.8493672481475674</v>
      </c>
      <c r="N36" s="2">
        <f t="shared" si="10"/>
        <v>9.2164268078916187</v>
      </c>
      <c r="O36" s="2">
        <f t="shared" si="11"/>
        <v>1.2794154713364734E-2</v>
      </c>
      <c r="P36" s="2">
        <f t="shared" si="3"/>
        <v>0.49999999999998812</v>
      </c>
      <c r="Q36" s="2">
        <f t="shared" si="4"/>
        <v>-0.86602540378444548</v>
      </c>
      <c r="R36" s="2">
        <f t="shared" si="5"/>
        <v>4.5499999999998915</v>
      </c>
      <c r="S36" s="2">
        <f t="shared" si="5"/>
        <v>-7.8808311744384536</v>
      </c>
      <c r="T36" s="2">
        <f t="shared" si="12"/>
        <v>9.5896318886485172</v>
      </c>
      <c r="U36" s="2">
        <f t="shared" si="13"/>
        <v>5.3805702049287647E-2</v>
      </c>
    </row>
    <row r="37" spans="1:22" x14ac:dyDescent="0.3">
      <c r="A37" s="20">
        <v>36</v>
      </c>
      <c r="B37" s="21">
        <v>8.1999999999999993</v>
      </c>
      <c r="C37" s="2">
        <f>C36+PI()/18</f>
        <v>6.108652381980149</v>
      </c>
      <c r="D37" s="2">
        <f t="shared" si="14"/>
        <v>0.98480775301220724</v>
      </c>
      <c r="E37" s="2">
        <f t="shared" si="6"/>
        <v>-0.17364817766693477</v>
      </c>
      <c r="F37" s="2">
        <f t="shared" si="15"/>
        <v>8.075423574700098</v>
      </c>
      <c r="G37" s="2">
        <f t="shared" si="7"/>
        <v>-1.423915056868865</v>
      </c>
      <c r="H37" s="2">
        <f t="shared" ref="H3:H37" si="17">$B$38+$G$41*D37+$G$42*E37</f>
        <v>9.2901213637534372</v>
      </c>
      <c r="I37" s="2">
        <f t="shared" si="9"/>
        <v>0.13294162972602902</v>
      </c>
      <c r="J37" s="2">
        <f t="shared" si="0"/>
        <v>0.93969262078590532</v>
      </c>
      <c r="K37" s="2">
        <f t="shared" si="1"/>
        <v>-0.34202014332567715</v>
      </c>
      <c r="L37" s="2">
        <f t="shared" si="2"/>
        <v>7.7054794904444233</v>
      </c>
      <c r="M37" s="2">
        <f t="shared" si="2"/>
        <v>-2.8045651752705525</v>
      </c>
      <c r="N37" s="2">
        <f t="shared" si="10"/>
        <v>9.2516219613033002</v>
      </c>
      <c r="O37" s="2">
        <f t="shared" si="11"/>
        <v>0.12824658064674402</v>
      </c>
      <c r="P37" s="2">
        <f t="shared" si="3"/>
        <v>0.86602540378443149</v>
      </c>
      <c r="Q37" s="2">
        <f t="shared" si="4"/>
        <v>-0.50000000000001243</v>
      </c>
      <c r="R37" s="2">
        <f t="shared" si="5"/>
        <v>7.1014083110323378</v>
      </c>
      <c r="S37" s="2">
        <f t="shared" si="5"/>
        <v>-4.1000000000001018</v>
      </c>
      <c r="T37" s="2">
        <f t="shared" si="12"/>
        <v>8.477832892954666</v>
      </c>
      <c r="U37" s="2">
        <f t="shared" si="13"/>
        <v>3.3882060116422773E-2</v>
      </c>
    </row>
    <row r="38" spans="1:22" x14ac:dyDescent="0.3">
      <c r="B38" s="62">
        <f>AVERAGE(B2:B37)</f>
        <v>9.2472222222222236</v>
      </c>
      <c r="F38" s="62">
        <f>SUM(F2:F37)</f>
        <v>0.70225665201673415</v>
      </c>
      <c r="G38" s="62">
        <f>SUM(G2:G37)</f>
        <v>-0.46413819675057444</v>
      </c>
      <c r="H38" s="62">
        <f>AVERAGE(H2:H37)</f>
        <v>9.2472222222222253</v>
      </c>
      <c r="I38" s="62">
        <f>AVERAGE(I2:I37)*100</f>
        <v>15.996387751470817</v>
      </c>
      <c r="L38" s="62">
        <f>SUM(L2:L37)</f>
        <v>7.0573706390219648E-2</v>
      </c>
      <c r="M38" s="62">
        <f>SUM(M2:M37)</f>
        <v>2.2200646658868002</v>
      </c>
      <c r="N38" s="62">
        <f>AVERAGE(N2:N37)</f>
        <v>9.2472222222222218</v>
      </c>
      <c r="O38" s="62">
        <f>AVERAGE(O2:O37)*100</f>
        <v>15.879741081270224</v>
      </c>
      <c r="R38" s="62">
        <f>SUM(R2:R37)</f>
        <v>-30.842047106606486</v>
      </c>
      <c r="S38" s="62">
        <f>SUM(S2:S37)</f>
        <v>-25.563586137523252</v>
      </c>
      <c r="T38" s="62">
        <f>AVERAGE(T2:T37)</f>
        <v>9.2472222222222271</v>
      </c>
      <c r="U38" s="62">
        <f>AVERAGE(U2:U37)*100</f>
        <v>4.3174407093121845</v>
      </c>
      <c r="V38" s="57" t="s">
        <v>93</v>
      </c>
    </row>
    <row r="40" spans="1:22" x14ac:dyDescent="0.3">
      <c r="R40" s="23" t="s">
        <v>91</v>
      </c>
      <c r="S40" s="2">
        <f>2*R38/36</f>
        <v>-1.7134470614781381</v>
      </c>
    </row>
    <row r="41" spans="1:22" x14ac:dyDescent="0.3">
      <c r="F41" s="23" t="s">
        <v>70</v>
      </c>
      <c r="G41" s="54">
        <f>2*F38/36</f>
        <v>3.9014258445374123E-2</v>
      </c>
      <c r="L41" s="59" t="s">
        <v>85</v>
      </c>
      <c r="M41" s="54">
        <f>2*L38/36</f>
        <v>3.9207614661233136E-3</v>
      </c>
      <c r="R41" s="23" t="s">
        <v>92</v>
      </c>
      <c r="S41" s="2">
        <f>2*S38/36</f>
        <v>-1.4201992298624029</v>
      </c>
    </row>
    <row r="42" spans="1:22" x14ac:dyDescent="0.3">
      <c r="F42" s="23" t="s">
        <v>71</v>
      </c>
      <c r="G42" s="54">
        <f>2*G38/36</f>
        <v>-2.5785455375031914E-2</v>
      </c>
      <c r="L42" s="59" t="s">
        <v>73</v>
      </c>
      <c r="M42" s="54">
        <f>2*M38/36</f>
        <v>0.12333692588260001</v>
      </c>
    </row>
    <row r="45" spans="1:22" x14ac:dyDescent="0.3">
      <c r="A45" s="42" t="s">
        <v>75</v>
      </c>
      <c r="B45" s="42" t="s">
        <v>69</v>
      </c>
      <c r="C45" s="42" t="s">
        <v>72</v>
      </c>
      <c r="D45" s="42" t="s">
        <v>90</v>
      </c>
    </row>
    <row r="46" spans="1:22" x14ac:dyDescent="0.3">
      <c r="A46" s="20">
        <v>8.4</v>
      </c>
      <c r="B46" s="20">
        <v>9.286236480667597</v>
      </c>
      <c r="C46" s="20">
        <v>9.29015724213372</v>
      </c>
      <c r="D46" s="20">
        <v>7.5767101806555814</v>
      </c>
    </row>
    <row r="47" spans="1:22" x14ac:dyDescent="0.3">
      <c r="A47" s="20">
        <v>8.1999999999999993</v>
      </c>
      <c r="B47" s="20">
        <v>9.2811661690810645</v>
      </c>
      <c r="C47" s="20">
        <v>9.3270341927663569</v>
      </c>
      <c r="D47" s="20">
        <v>7.1330458945552904</v>
      </c>
    </row>
    <row r="48" spans="1:22" x14ac:dyDescent="0.3">
      <c r="A48" s="20">
        <v>6.7</v>
      </c>
      <c r="B48" s="20">
        <v>9.2750644878456896</v>
      </c>
      <c r="C48" s="20">
        <v>9.3573474131537715</v>
      </c>
      <c r="D48" s="20">
        <v>7.2706952709187664</v>
      </c>
    </row>
    <row r="49" spans="1:4" x14ac:dyDescent="0.3">
      <c r="A49" s="20">
        <v>7.5</v>
      </c>
      <c r="B49" s="20">
        <v>9.2681168334582136</v>
      </c>
      <c r="C49" s="20">
        <v>9.3768901252302843</v>
      </c>
      <c r="D49" s="20">
        <v>7.9566908953678812</v>
      </c>
    </row>
    <row r="50" spans="1:4" x14ac:dyDescent="0.3">
      <c r="A50" s="20">
        <v>8.1</v>
      </c>
      <c r="B50" s="20">
        <v>9.2605343068815138</v>
      </c>
      <c r="C50" s="20">
        <v>9.3826783008070507</v>
      </c>
      <c r="D50" s="20">
        <v>9.0094732200501841</v>
      </c>
    </row>
    <row r="51" spans="1:4" x14ac:dyDescent="0.3">
      <c r="A51" s="20">
        <v>10</v>
      </c>
      <c r="B51" s="20">
        <v>9.2525472993486826</v>
      </c>
      <c r="C51" s="20">
        <v>9.3733296271068998</v>
      </c>
      <c r="D51" s="20">
        <v>10.147118695455564</v>
      </c>
    </row>
    <row r="52" spans="1:4" x14ac:dyDescent="0.3">
      <c r="A52" s="20">
        <v>11.9</v>
      </c>
      <c r="B52" s="20">
        <v>9.2443984920419826</v>
      </c>
      <c r="C52" s="20">
        <v>9.3492510223479304</v>
      </c>
      <c r="D52" s="20">
        <v>11.062698083826069</v>
      </c>
    </row>
    <row r="53" spans="1:4" x14ac:dyDescent="0.3">
      <c r="A53" s="20">
        <v>11.9</v>
      </c>
      <c r="B53" s="20">
        <v>9.2363354823479344</v>
      </c>
      <c r="C53" s="20">
        <v>9.3126114525881771</v>
      </c>
      <c r="D53" s="20">
        <v>11.506599750799243</v>
      </c>
    </row>
    <row r="54" spans="1:4" x14ac:dyDescent="0.3">
      <c r="A54" s="20">
        <v>11.7</v>
      </c>
      <c r="B54" s="20">
        <v>9.2286032607360085</v>
      </c>
      <c r="C54" s="20">
        <v>9.2671026631861455</v>
      </c>
      <c r="D54" s="20">
        <v>11.353754805421151</v>
      </c>
    </row>
    <row r="55" spans="1:4" x14ac:dyDescent="0.3">
      <c r="A55" s="20">
        <v>10.6</v>
      </c>
      <c r="B55" s="20">
        <v>9.2214367668471908</v>
      </c>
      <c r="C55" s="20">
        <v>9.2175160053810679</v>
      </c>
      <c r="D55" s="20">
        <v>10.637715235243471</v>
      </c>
    </row>
    <row r="56" spans="1:4" x14ac:dyDescent="0.3">
      <c r="A56" s="20">
        <v>9</v>
      </c>
      <c r="B56" s="20">
        <v>9.215053750971876</v>
      </c>
      <c r="C56" s="20">
        <v>9.1691857272865835</v>
      </c>
      <c r="D56" s="20">
        <v>9.5423908080434501</v>
      </c>
    </row>
    <row r="57" spans="1:4" x14ac:dyDescent="0.3">
      <c r="A57" s="20">
        <v>7.9</v>
      </c>
      <c r="B57" s="20">
        <v>9.2096481578174707</v>
      </c>
      <c r="C57" s="20">
        <v>9.1273652325093888</v>
      </c>
      <c r="D57" s="20">
        <v>8.3535761641607245</v>
      </c>
    </row>
    <row r="58" spans="1:4" x14ac:dyDescent="0.3">
      <c r="A58" s="20">
        <v>7.3</v>
      </c>
      <c r="B58" s="20">
        <v>9.2053842335966092</v>
      </c>
      <c r="C58" s="20">
        <v>9.0966109418245384</v>
      </c>
      <c r="D58" s="20">
        <v>7.3831638803463999</v>
      </c>
    </row>
    <row r="59" spans="1:4" x14ac:dyDescent="0.3">
      <c r="A59" s="20">
        <v>7.1</v>
      </c>
      <c r="B59" s="20">
        <v>9.2023915354890935</v>
      </c>
      <c r="C59" s="20">
        <v>9.0802475415635566</v>
      </c>
      <c r="D59" s="20">
        <v>6.886259243352491</v>
      </c>
    </row>
    <row r="60" spans="1:4" x14ac:dyDescent="0.3">
      <c r="A60" s="20">
        <v>7.6</v>
      </c>
      <c r="B60" s="20">
        <v>9.2007609951125424</v>
      </c>
      <c r="C60" s="20">
        <v>9.0799786673543252</v>
      </c>
      <c r="D60" s="20">
        <v>6.9933265251193193</v>
      </c>
    </row>
    <row r="61" spans="1:4" x14ac:dyDescent="0.3">
      <c r="A61" s="20">
        <v>7.6</v>
      </c>
      <c r="B61" s="20">
        <v>9.2005421556112008</v>
      </c>
      <c r="C61" s="20">
        <v>9.0956896253052513</v>
      </c>
      <c r="D61" s="20">
        <v>7.6754903954428446</v>
      </c>
    </row>
    <row r="62" spans="1:4" x14ac:dyDescent="0.3">
      <c r="A62" s="20">
        <v>8.5</v>
      </c>
      <c r="B62" s="20">
        <v>9.2017416663125857</v>
      </c>
      <c r="C62" s="20">
        <v>9.125465696072343</v>
      </c>
      <c r="D62" s="20">
        <v>8.7522606153154712</v>
      </c>
    </row>
    <row r="63" spans="1:4" x14ac:dyDescent="0.3">
      <c r="A63" s="20">
        <v>9.8000000000000007</v>
      </c>
      <c r="B63" s="20">
        <v>9.2043230806910117</v>
      </c>
      <c r="C63" s="20">
        <v>9.1658236782408746</v>
      </c>
      <c r="D63" s="20">
        <v>9.9396127465895301</v>
      </c>
    </row>
    <row r="64" spans="1:4" x14ac:dyDescent="0.3">
      <c r="A64" s="20">
        <v>10.9</v>
      </c>
      <c r="B64" s="20">
        <v>9.2082079637768501</v>
      </c>
      <c r="C64" s="20">
        <v>9.2121287252429731</v>
      </c>
      <c r="D64" s="20">
        <v>10.925575786721106</v>
      </c>
    </row>
    <row r="65" spans="1:4" x14ac:dyDescent="0.3">
      <c r="A65" s="20">
        <v>11.7</v>
      </c>
      <c r="B65" s="20">
        <v>9.2132782753633826</v>
      </c>
      <c r="C65" s="20">
        <v>9.259146299048675</v>
      </c>
      <c r="D65" s="20">
        <v>11.453134597259739</v>
      </c>
    </row>
    <row r="66" spans="1:4" x14ac:dyDescent="0.3">
      <c r="A66" s="20">
        <v>11.7</v>
      </c>
      <c r="B66" s="20">
        <v>9.2193799565987575</v>
      </c>
      <c r="C66" s="20">
        <v>9.3016628819068394</v>
      </c>
      <c r="D66" s="20">
        <v>11.388315024141848</v>
      </c>
    </row>
    <row r="67" spans="1:4" x14ac:dyDescent="0.3">
      <c r="A67" s="20">
        <v>10.4</v>
      </c>
      <c r="B67" s="20">
        <v>9.2263276109862336</v>
      </c>
      <c r="C67" s="20">
        <v>9.3351009027583043</v>
      </c>
      <c r="D67" s="20">
        <v>10.755300132620718</v>
      </c>
    </row>
    <row r="68" spans="1:4" x14ac:dyDescent="0.3">
      <c r="A68" s="20">
        <v>9.6999999999999993</v>
      </c>
      <c r="B68" s="20">
        <v>9.2339101375629333</v>
      </c>
      <c r="C68" s="20">
        <v>9.3560541314884702</v>
      </c>
      <c r="D68" s="20">
        <v>9.729259212245351</v>
      </c>
    </row>
    <row r="69" spans="1:4" x14ac:dyDescent="0.3">
      <c r="A69" s="20">
        <v>8.3000000000000007</v>
      </c>
      <c r="B69" s="20">
        <v>9.2418971450957645</v>
      </c>
      <c r="C69" s="20">
        <v>9.3626794728539817</v>
      </c>
      <c r="D69" s="20">
        <v>8.5888904045053334</v>
      </c>
    </row>
    <row r="70" spans="1:4" x14ac:dyDescent="0.3">
      <c r="A70" s="20">
        <v>7.5</v>
      </c>
      <c r="B70" s="20">
        <v>9.2500459524024645</v>
      </c>
      <c r="C70" s="20">
        <v>9.3548984827084141</v>
      </c>
      <c r="D70" s="20">
        <v>7.6414514212302862</v>
      </c>
    </row>
    <row r="71" spans="1:4" x14ac:dyDescent="0.3">
      <c r="A71" s="20">
        <v>7.2</v>
      </c>
      <c r="B71" s="20">
        <v>9.2581089620965127</v>
      </c>
      <c r="C71" s="20">
        <v>9.3343849323367554</v>
      </c>
      <c r="D71" s="20">
        <v>7.1403966341256933</v>
      </c>
    </row>
    <row r="72" spans="1:4" x14ac:dyDescent="0.3">
      <c r="A72" s="20">
        <v>8.1</v>
      </c>
      <c r="B72" s="20">
        <v>9.2658411837084387</v>
      </c>
      <c r="C72" s="20">
        <v>9.3043405861585757</v>
      </c>
      <c r="D72" s="20">
        <v>7.2176884439235636</v>
      </c>
    </row>
    <row r="73" spans="1:4" x14ac:dyDescent="0.3">
      <c r="A73" s="20">
        <v>7.8</v>
      </c>
      <c r="B73" s="20">
        <v>9.2730076775972563</v>
      </c>
      <c r="C73" s="20">
        <v>9.2690869161311333</v>
      </c>
      <c r="D73" s="20">
        <v>7.8488876862687142</v>
      </c>
    </row>
    <row r="74" spans="1:4" x14ac:dyDescent="0.3">
      <c r="A74" s="20">
        <v>8.8000000000000007</v>
      </c>
      <c r="B74" s="20">
        <v>9.2793906934725712</v>
      </c>
      <c r="C74" s="20">
        <v>9.2335226697872805</v>
      </c>
      <c r="D74" s="20">
        <v>8.8603175890303909</v>
      </c>
    </row>
    <row r="75" spans="1:4" x14ac:dyDescent="0.3">
      <c r="A75" s="20">
        <v>9.1</v>
      </c>
      <c r="B75" s="20">
        <v>9.2847962866269764</v>
      </c>
      <c r="C75" s="20">
        <v>9.2025133613188945</v>
      </c>
      <c r="D75" s="20">
        <v>9.9763024296675358</v>
      </c>
    </row>
    <row r="76" spans="1:4" x14ac:dyDescent="0.3">
      <c r="A76" s="20">
        <v>10.8</v>
      </c>
      <c r="B76" s="20">
        <v>9.289060210847838</v>
      </c>
      <c r="C76" s="20">
        <v>9.1802869190757672</v>
      </c>
      <c r="D76" s="20">
        <v>10.89373398055389</v>
      </c>
    </row>
    <row r="77" spans="1:4" x14ac:dyDescent="0.3">
      <c r="A77" s="20">
        <v>12</v>
      </c>
      <c r="B77" s="20">
        <v>9.2920529089553536</v>
      </c>
      <c r="C77" s="20">
        <v>9.1699089150298168</v>
      </c>
      <c r="D77" s="20">
        <v>11.363897213240877</v>
      </c>
    </row>
    <row r="78" spans="1:4" x14ac:dyDescent="0.3">
      <c r="A78" s="20">
        <v>11.8</v>
      </c>
      <c r="B78" s="20">
        <v>9.2936834493319047</v>
      </c>
      <c r="C78" s="20">
        <v>9.1729011215736875</v>
      </c>
      <c r="D78" s="20">
        <v>11.259553263808701</v>
      </c>
    </row>
    <row r="79" spans="1:4" x14ac:dyDescent="0.3">
      <c r="A79" s="20">
        <v>10</v>
      </c>
      <c r="B79" s="20">
        <v>9.2939022888332445</v>
      </c>
      <c r="C79" s="20">
        <v>9.189049758527295</v>
      </c>
      <c r="D79" s="20">
        <v>10.609248988389721</v>
      </c>
    </row>
    <row r="80" spans="1:4" x14ac:dyDescent="0.3">
      <c r="A80" s="20">
        <v>9.1</v>
      </c>
      <c r="B80" s="20">
        <v>9.2927027781318614</v>
      </c>
      <c r="C80" s="20">
        <v>9.2164268078916187</v>
      </c>
      <c r="D80" s="20">
        <v>9.5896318886485172</v>
      </c>
    </row>
    <row r="81" spans="1:4" x14ac:dyDescent="0.3">
      <c r="A81" s="20">
        <v>8.1999999999999993</v>
      </c>
      <c r="B81" s="20">
        <v>9.2901213637534372</v>
      </c>
      <c r="C81" s="20">
        <v>9.2516219613033002</v>
      </c>
      <c r="D81" s="20">
        <v>8.477832892954666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Поиск тренда</vt:lpstr>
      <vt:lpstr>Автокорреляция</vt:lpstr>
      <vt:lpstr>Скользящая средняя</vt:lpstr>
      <vt:lpstr>Разложение фурье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2022-12-20T15:19:41Z</dcterms:modified>
</cp:coreProperties>
</file>