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grams PC\OSPC\50_state_taxdata\documents\"/>
    </mc:Choice>
  </mc:AlternateContent>
  <xr:revisionPtr revIDLastSave="0" documentId="13_ncr:1_{22187B8F-3BFB-4AD8-BAB9-EE29ECB2C020}" xr6:coauthVersionLast="45" xr6:coauthVersionMax="45" xr10:uidLastSave="{00000000-0000-0000-0000-000000000000}"/>
  <bookViews>
    <workbookView xWindow="-120" yWindow="-120" windowWidth="29040" windowHeight="15990" activeTab="1" xr2:uid="{087FC6D8-B5B6-47D0-9A74-E42D9CFC585B}"/>
  </bookViews>
  <sheets>
    <sheet name="jac_new" sheetId="9" r:id="rId1"/>
    <sheet name="sse_gradient" sheetId="12" r:id="rId2"/>
    <sheet name="scaling" sheetId="11" r:id="rId3"/>
    <sheet name="Sheet1" sheetId="10" r:id="rId4"/>
    <sheet name="jacobian" sheetId="5" r:id="rId5"/>
    <sheet name="Sheet6" sheetId="8" r:id="rId6"/>
    <sheet name="Sheet5" sheetId="7" r:id="rId7"/>
    <sheet name="gradient_sse" sheetId="6" r:id="rId8"/>
    <sheet name="derivs" sheetId="2" r:id="rId9"/>
    <sheet name="partials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8" i="11" l="1"/>
  <c r="V7" i="11"/>
  <c r="V6" i="11"/>
  <c r="V5" i="11"/>
  <c r="U8" i="11"/>
  <c r="H8" i="11" s="1"/>
  <c r="U7" i="11"/>
  <c r="H7" i="11" s="1"/>
  <c r="U6" i="11"/>
  <c r="H6" i="11" s="1"/>
  <c r="U5" i="11"/>
  <c r="H5" i="11" s="1"/>
  <c r="G8" i="11"/>
  <c r="I8" i="11" s="1"/>
  <c r="G7" i="11"/>
  <c r="I7" i="11" s="1"/>
  <c r="G6" i="11"/>
  <c r="I6" i="11" s="1"/>
  <c r="G5" i="11"/>
  <c r="I5" i="11" s="1"/>
  <c r="D6" i="11"/>
  <c r="C6" i="11"/>
  <c r="AU44" i="9"/>
  <c r="AU43" i="9"/>
  <c r="AU42" i="9"/>
  <c r="AU41" i="9"/>
  <c r="AU40" i="9"/>
  <c r="AU39" i="9"/>
  <c r="AS44" i="9"/>
  <c r="AS43" i="9"/>
  <c r="AS42" i="9"/>
  <c r="AS41" i="9"/>
  <c r="AS40" i="9"/>
  <c r="AS39" i="9"/>
  <c r="AT44" i="9"/>
  <c r="AT43" i="9"/>
  <c r="AT42" i="9"/>
  <c r="AT41" i="9"/>
  <c r="AT40" i="9"/>
  <c r="AT39" i="9"/>
  <c r="AQ44" i="9"/>
  <c r="AQ43" i="9"/>
  <c r="AQ42" i="9"/>
  <c r="AQ41" i="9"/>
  <c r="AQ40" i="9"/>
  <c r="AQ39" i="9"/>
  <c r="AP44" i="9"/>
  <c r="AP43" i="9"/>
  <c r="AP42" i="9"/>
  <c r="AP41" i="9"/>
  <c r="AP40" i="9"/>
  <c r="AP39" i="9"/>
  <c r="AN44" i="9"/>
  <c r="AN43" i="9"/>
  <c r="AN42" i="9"/>
  <c r="AN41" i="9"/>
  <c r="AN40" i="9"/>
  <c r="AN39" i="9"/>
  <c r="AM44" i="9"/>
  <c r="AM43" i="9"/>
  <c r="AM42" i="9"/>
  <c r="AM41" i="9"/>
  <c r="AM40" i="9"/>
  <c r="AM39" i="9"/>
  <c r="AI44" i="9"/>
  <c r="AI43" i="9"/>
  <c r="AI42" i="9"/>
  <c r="AI41" i="9"/>
  <c r="AI40" i="9"/>
  <c r="AI39" i="9"/>
  <c r="AH44" i="9"/>
  <c r="AH43" i="9"/>
  <c r="AH42" i="9"/>
  <c r="AH41" i="9"/>
  <c r="AH40" i="9"/>
  <c r="AH39" i="9"/>
  <c r="AK44" i="9"/>
  <c r="AK43" i="9"/>
  <c r="AK42" i="9"/>
  <c r="AK41" i="9"/>
  <c r="AK40" i="9"/>
  <c r="AK39" i="9"/>
  <c r="AG44" i="9"/>
  <c r="AG43" i="9"/>
  <c r="AG42" i="9"/>
  <c r="AG41" i="9"/>
  <c r="AG40" i="9"/>
  <c r="AG39" i="9"/>
  <c r="AB39" i="9"/>
  <c r="AE44" i="9"/>
  <c r="AE43" i="9"/>
  <c r="AE42" i="9"/>
  <c r="AE41" i="9"/>
  <c r="AE40" i="9"/>
  <c r="AE39" i="9"/>
  <c r="AF44" i="9"/>
  <c r="AF43" i="9"/>
  <c r="AF42" i="9"/>
  <c r="AF41" i="9"/>
  <c r="AF40" i="9"/>
  <c r="AF39" i="9"/>
  <c r="AB44" i="9"/>
  <c r="AC44" i="9" s="1"/>
  <c r="AB43" i="9"/>
  <c r="AC43" i="9" s="1"/>
  <c r="AB42" i="9"/>
  <c r="AC42" i="9" s="1"/>
  <c r="AB41" i="9"/>
  <c r="AC41" i="9" s="1"/>
  <c r="AB40" i="9"/>
  <c r="AC40" i="9" s="1"/>
  <c r="AC39" i="9"/>
  <c r="P18" i="10"/>
  <c r="Q25" i="10"/>
  <c r="Q22" i="10"/>
  <c r="Q20" i="10"/>
  <c r="Q18" i="10"/>
  <c r="Q16" i="10"/>
  <c r="Q13" i="10"/>
  <c r="Q10" i="10"/>
  <c r="P16" i="10"/>
  <c r="P13" i="10"/>
  <c r="P10" i="10"/>
  <c r="N15" i="10"/>
  <c r="N14" i="10"/>
  <c r="N12" i="10"/>
  <c r="N11" i="10"/>
  <c r="N9" i="10"/>
  <c r="N8" i="10"/>
  <c r="O15" i="10"/>
  <c r="O12" i="10"/>
  <c r="O9" i="10"/>
  <c r="O14" i="10"/>
  <c r="O11" i="10"/>
  <c r="O8" i="10"/>
  <c r="I12" i="10"/>
  <c r="I11" i="10"/>
  <c r="I10" i="10"/>
  <c r="I9" i="10"/>
  <c r="I8" i="10"/>
  <c r="H10" i="10"/>
  <c r="H11" i="10" s="1"/>
  <c r="H12" i="10" s="1"/>
  <c r="H9" i="10"/>
  <c r="E10" i="10"/>
  <c r="E11" i="10" s="1"/>
  <c r="E12" i="10" s="1"/>
  <c r="E13" i="10" s="1"/>
  <c r="E9" i="10"/>
  <c r="I38" i="9"/>
  <c r="I39" i="9" s="1"/>
  <c r="J5" i="11" l="1"/>
  <c r="J7" i="11"/>
  <c r="C14" i="11" s="1"/>
  <c r="G14" i="11" s="1"/>
  <c r="J8" i="11"/>
  <c r="C15" i="11" s="1"/>
  <c r="G15" i="11" s="1"/>
  <c r="J6" i="11"/>
  <c r="C13" i="11" s="1"/>
  <c r="G13" i="11" s="1"/>
  <c r="L8" i="11"/>
  <c r="M8" i="11" s="1"/>
  <c r="C24" i="11" s="1"/>
  <c r="G24" i="11" s="1"/>
  <c r="B12" i="11"/>
  <c r="F12" i="11" s="1"/>
  <c r="C12" i="11"/>
  <c r="G12" i="11" s="1"/>
  <c r="B24" i="11"/>
  <c r="D24" i="11" s="1"/>
  <c r="L5" i="11"/>
  <c r="M5" i="11" s="1"/>
  <c r="C21" i="11" s="1"/>
  <c r="G21" i="11" s="1"/>
  <c r="L6" i="11"/>
  <c r="M6" i="11" s="1"/>
  <c r="C22" i="11" s="1"/>
  <c r="G22" i="11" s="1"/>
  <c r="L7" i="11"/>
  <c r="M7" i="11" s="1"/>
  <c r="C23" i="11" s="1"/>
  <c r="G23" i="11" s="1"/>
  <c r="Q12" i="9"/>
  <c r="P12" i="9"/>
  <c r="O12" i="9"/>
  <c r="N12" i="9"/>
  <c r="B14" i="11" l="1"/>
  <c r="D14" i="11"/>
  <c r="F14" i="11"/>
  <c r="F24" i="11"/>
  <c r="B21" i="11"/>
  <c r="F21" i="11" s="1"/>
  <c r="B23" i="11"/>
  <c r="G25" i="11"/>
  <c r="G27" i="11" s="1"/>
  <c r="B22" i="11"/>
  <c r="B15" i="11"/>
  <c r="F15" i="11" s="1"/>
  <c r="B13" i="11"/>
  <c r="F13" i="11" s="1"/>
  <c r="G16" i="11"/>
  <c r="D12" i="11"/>
  <c r="N15" i="9"/>
  <c r="N16" i="9"/>
  <c r="N17" i="9" s="1"/>
  <c r="D15" i="11" l="1"/>
  <c r="D21" i="11"/>
  <c r="D22" i="11"/>
  <c r="F22" i="11"/>
  <c r="D23" i="11"/>
  <c r="F23" i="11"/>
  <c r="F25" i="11" s="1"/>
  <c r="F16" i="11"/>
  <c r="D13" i="11"/>
  <c r="T38" i="5"/>
  <c r="V38" i="5"/>
  <c r="U38" i="5"/>
  <c r="V37" i="5"/>
  <c r="U37" i="5"/>
  <c r="T37" i="5"/>
  <c r="X43" i="5"/>
  <c r="X48" i="5"/>
  <c r="X42" i="5"/>
  <c r="X47" i="5"/>
  <c r="X56" i="5" s="1"/>
  <c r="W56" i="5" s="1"/>
  <c r="F22" i="7" a="1"/>
  <c r="F22" i="7" s="1"/>
  <c r="H7" i="7"/>
  <c r="G7" i="7"/>
  <c r="H6" i="7"/>
  <c r="G6" i="7"/>
  <c r="H5" i="7"/>
  <c r="G5" i="7"/>
  <c r="H4" i="7"/>
  <c r="G4" i="7"/>
  <c r="H21" i="5"/>
  <c r="I47" i="5"/>
  <c r="I46" i="5"/>
  <c r="I45" i="5"/>
  <c r="I44" i="5"/>
  <c r="I43" i="5"/>
  <c r="D17" i="5"/>
  <c r="G43" i="5"/>
  <c r="F45" i="5"/>
  <c r="F44" i="5"/>
  <c r="F43" i="5"/>
  <c r="I58" i="5"/>
  <c r="H58" i="5"/>
  <c r="G58" i="5"/>
  <c r="J58" i="5" s="1"/>
  <c r="F58" i="5" s="1"/>
  <c r="E58" i="5" s="1"/>
  <c r="I57" i="5"/>
  <c r="H57" i="5"/>
  <c r="G57" i="5"/>
  <c r="J57" i="5" s="1"/>
  <c r="F57" i="5" s="1"/>
  <c r="E57" i="5" s="1"/>
  <c r="I56" i="5"/>
  <c r="H56" i="5"/>
  <c r="G56" i="5"/>
  <c r="J56" i="5" s="1"/>
  <c r="F56" i="5" s="1"/>
  <c r="E56" i="5" s="1"/>
  <c r="J55" i="5"/>
  <c r="F55" i="5" s="1"/>
  <c r="E55" i="5" s="1"/>
  <c r="I55" i="5"/>
  <c r="H55" i="5"/>
  <c r="G55" i="5"/>
  <c r="AA11" i="5"/>
  <c r="AB10" i="5"/>
  <c r="AB9" i="5"/>
  <c r="AB8" i="5"/>
  <c r="AB7" i="5"/>
  <c r="L70" i="5"/>
  <c r="P67" i="5"/>
  <c r="O67" i="5"/>
  <c r="O64" i="5"/>
  <c r="D47" i="5"/>
  <c r="F47" i="5"/>
  <c r="F49" i="5" s="1"/>
  <c r="F46" i="5"/>
  <c r="G46" i="5"/>
  <c r="G45" i="5"/>
  <c r="G44" i="5"/>
  <c r="O57" i="5"/>
  <c r="O70" i="5"/>
  <c r="O66" i="5"/>
  <c r="N64" i="5"/>
  <c r="N61" i="5"/>
  <c r="M61" i="5"/>
  <c r="M64" i="5" s="1"/>
  <c r="N53" i="5"/>
  <c r="M53" i="5"/>
  <c r="N63" i="5"/>
  <c r="N65" i="5" s="1"/>
  <c r="M63" i="5"/>
  <c r="N52" i="5"/>
  <c r="M52" i="5"/>
  <c r="O55" i="5"/>
  <c r="N54" i="5"/>
  <c r="M54" i="5"/>
  <c r="N50" i="5"/>
  <c r="M50" i="5"/>
  <c r="AB42" i="5"/>
  <c r="AB37" i="5"/>
  <c r="R37" i="5"/>
  <c r="S37" i="5"/>
  <c r="V52" i="5"/>
  <c r="AA57" i="5"/>
  <c r="Z57" i="5"/>
  <c r="Y57" i="5"/>
  <c r="AA54" i="5"/>
  <c r="Z54" i="5"/>
  <c r="Y54" i="5"/>
  <c r="X54" i="5"/>
  <c r="AA56" i="5"/>
  <c r="Z56" i="5"/>
  <c r="Y56" i="5"/>
  <c r="W55" i="5"/>
  <c r="AA55" i="5"/>
  <c r="Z55" i="5"/>
  <c r="Y55" i="5"/>
  <c r="X55" i="5"/>
  <c r="AA53" i="5"/>
  <c r="Z53" i="5"/>
  <c r="Y53" i="5"/>
  <c r="X53" i="5"/>
  <c r="AA52" i="5"/>
  <c r="Z52" i="5"/>
  <c r="Y52" i="5"/>
  <c r="X52" i="5"/>
  <c r="AA51" i="5"/>
  <c r="Z51" i="5"/>
  <c r="Y51" i="5"/>
  <c r="X51" i="5"/>
  <c r="R40" i="5"/>
  <c r="R39" i="5"/>
  <c r="R38" i="5"/>
  <c r="S40" i="5"/>
  <c r="S39" i="5"/>
  <c r="S38" i="5"/>
  <c r="AA49" i="5"/>
  <c r="Z49" i="5"/>
  <c r="Y49" i="5"/>
  <c r="X49" i="5"/>
  <c r="AA48" i="5"/>
  <c r="Z48" i="5"/>
  <c r="Y48" i="5"/>
  <c r="AA47" i="5"/>
  <c r="Z47" i="5"/>
  <c r="Y47" i="5"/>
  <c r="AA44" i="5"/>
  <c r="Z44" i="5"/>
  <c r="Y44" i="5"/>
  <c r="X44" i="5"/>
  <c r="AA43" i="5"/>
  <c r="Z43" i="5"/>
  <c r="Y43" i="5"/>
  <c r="AA42" i="5"/>
  <c r="Z42" i="5"/>
  <c r="Y42" i="5"/>
  <c r="AA34" i="5"/>
  <c r="Z34" i="5"/>
  <c r="Y34" i="5"/>
  <c r="X34" i="5"/>
  <c r="U33" i="5"/>
  <c r="U32" i="5"/>
  <c r="U31" i="5"/>
  <c r="U30" i="5"/>
  <c r="P25" i="5"/>
  <c r="P24" i="5"/>
  <c r="P23" i="5"/>
  <c r="P22" i="5"/>
  <c r="P21" i="5"/>
  <c r="R25" i="5"/>
  <c r="R24" i="5"/>
  <c r="R23" i="5"/>
  <c r="R22" i="5"/>
  <c r="R21" i="5"/>
  <c r="AA19" i="5"/>
  <c r="W12" i="5"/>
  <c r="O25" i="5"/>
  <c r="N25" i="5"/>
  <c r="Q26" i="5"/>
  <c r="Q25" i="5"/>
  <c r="S16" i="5"/>
  <c r="R16" i="5"/>
  <c r="M25" i="5"/>
  <c r="M11" i="5"/>
  <c r="H50" i="5"/>
  <c r="I50" i="5"/>
  <c r="N46" i="5"/>
  <c r="M46" i="5"/>
  <c r="N45" i="5"/>
  <c r="M45" i="5"/>
  <c r="N44" i="5"/>
  <c r="M44" i="5"/>
  <c r="F27" i="11" l="1"/>
  <c r="X57" i="5"/>
  <c r="W57" i="5" s="1"/>
  <c r="E59" i="5"/>
  <c r="F48" i="5"/>
  <c r="G47" i="5"/>
  <c r="P54" i="5"/>
  <c r="O53" i="5"/>
  <c r="M65" i="5"/>
  <c r="P65" i="5" s="1"/>
  <c r="O54" i="5" l="1"/>
  <c r="O56" i="5"/>
  <c r="O68" i="5"/>
  <c r="O69" i="5" s="1"/>
  <c r="O71" i="5" s="1"/>
  <c r="O72" i="5" s="1"/>
  <c r="O6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<sst xmlns="http://schemas.openxmlformats.org/spreadsheetml/2006/main" count="660" uniqueCount="213">
  <si>
    <t>t, u are targets</t>
  </si>
  <si>
    <t>x, y are betas</t>
  </si>
  <si>
    <t>a are the x's</t>
  </si>
  <si>
    <t>d are deltas</t>
  </si>
  <si>
    <t>2a^2(e^(ax+d(-t))</t>
  </si>
  <si>
    <t>2X^2(e^(xbeta+d)-t)</t>
  </si>
  <si>
    <t>f1</t>
  </si>
  <si>
    <t>f2</t>
  </si>
  <si>
    <t>2x^3(e^(xbeta+d))*(2x(e^xbeta+d)-t)</t>
  </si>
  <si>
    <t>2a^3(e^(ax+d))*(2a(e^(ax+d)-t)</t>
  </si>
  <si>
    <t>replacing x with x[, 1] and t with t[1], etc</t>
  </si>
  <si>
    <t>t, u=targets</t>
  </si>
  <si>
    <t>d = delta</t>
  </si>
  <si>
    <t>x, y=betas</t>
  </si>
  <si>
    <t>a=x's</t>
  </si>
  <si>
    <t xml:space="preserve"> https://www.symbolab.com/solver/partial-derivative-calculator/%5Cfrac%7B%5Cpartial%7D%7B%5Cpartial%20x%7D%5Cleft(%5Cleft(t%20-%20e%5E%7B%5Cleft(xa%2Bd%5Cright)%7Da%5Cright)%5E%7B2%7D%20%2B%20%5Cleft(u-e%5E%7B%5Cleft(ya%2Bd%5Cright)%7Da%5Cright)%5E%7B2%7D%5Cright)</t>
  </si>
  <si>
    <t>https://www.symbolab.com/solver/partial-derivative-calculator/%5Cfrac%7B%5Cpartial%7D%7B%5Cpartial%20x%7D%5Cleft(%5Cleft(t%20-%20e%5E%7B%5Cleft(xa%2Bd%5Cright)%7Da%5Cright)%5E%7B2%7D%20%2B%20%5Cleft(u-e%5E%7B%5Cleft(ya%2Bd%5Cright)%7Da%5Cright)%5E%7B2%7D%5Cright)</t>
  </si>
  <si>
    <t>First partial derirvatives</t>
  </si>
  <si>
    <t xml:space="preserve"> -2a^2(e^(ax+d))*(t - ae^(ax+d))</t>
  </si>
  <si>
    <t xml:space="preserve"> -2x^2(e^(xbeta+d))*(t - xe^(xbeta+d))</t>
  </si>
  <si>
    <t>[,1]</t>
  </si>
  <si>
    <t>[,2]</t>
  </si>
  <si>
    <t>[,3]</t>
  </si>
  <si>
    <t>[,4]</t>
  </si>
  <si>
    <t>[,5]</t>
  </si>
  <si>
    <t>[,6]</t>
  </si>
  <si>
    <t>[1,]</t>
  </si>
  <si>
    <t>[2,]</t>
  </si>
  <si>
    <t>[3,]</t>
  </si>
  <si>
    <t>[4,]</t>
  </si>
  <si>
    <t>[5,]</t>
  </si>
  <si>
    <t>[6,]</t>
  </si>
  <si>
    <t>jacobian</t>
  </si>
  <si>
    <t>xmatrix</t>
  </si>
  <si>
    <t>ewhs</t>
  </si>
  <si>
    <t>states</t>
  </si>
  <si>
    <t>chars</t>
  </si>
  <si>
    <t>hh</t>
  </si>
  <si>
    <t>ebeta</t>
  </si>
  <si>
    <t>targets</t>
  </si>
  <si>
    <t>iteration 2</t>
  </si>
  <si>
    <t>etargets</t>
  </si>
  <si>
    <t>d distance</t>
  </si>
  <si>
    <t>calculate J[1, 1]: partial deriv of d[1,1] wrt ebeta[1, 1]</t>
  </si>
  <si>
    <t>xpx</t>
  </si>
  <si>
    <t>&gt; xmatrix * xmatrix</t>
  </si>
  <si>
    <t>s1c1</t>
  </si>
  <si>
    <t>d1</t>
  </si>
  <si>
    <t>d2</t>
  </si>
  <si>
    <t>d3</t>
  </si>
  <si>
    <t>d4</t>
  </si>
  <si>
    <t>d5</t>
  </si>
  <si>
    <t>d6</t>
  </si>
  <si>
    <t>b1</t>
  </si>
  <si>
    <t>b2</t>
  </si>
  <si>
    <t>b4</t>
  </si>
  <si>
    <t>b5</t>
  </si>
  <si>
    <t>b6</t>
  </si>
  <si>
    <t>b3</t>
  </si>
  <si>
    <t>xxp &lt;- xmatrix %*% t(xmatrix)</t>
  </si>
  <si>
    <t>&gt; ewhs[, 1] * xxp</t>
  </si>
  <si>
    <t>&gt; edelta</t>
  </si>
  <si>
    <t>[1]</t>
  </si>
  <si>
    <t>exponent</t>
  </si>
  <si>
    <t>expa</t>
  </si>
  <si>
    <t>expb</t>
  </si>
  <si>
    <t>&gt; ebeta %*% t(xmatrix)</t>
  </si>
  <si>
    <t>above + delta</t>
  </si>
  <si>
    <t>exp of above</t>
  </si>
  <si>
    <t>exp(above)</t>
  </si>
  <si>
    <t>x2</t>
  </si>
  <si>
    <t>weights</t>
  </si>
  <si>
    <t>ebeta1,1</t>
  </si>
  <si>
    <t xml:space="preserve"> 1, 1</t>
  </si>
  <si>
    <t xml:space="preserve"> 1, 2</t>
  </si>
  <si>
    <t>for hh:</t>
  </si>
  <si>
    <t>x 1</t>
  </si>
  <si>
    <t>ebeta x</t>
  </si>
  <si>
    <t>sum</t>
  </si>
  <si>
    <t>exp</t>
  </si>
  <si>
    <t>mult</t>
  </si>
  <si>
    <t>delta</t>
  </si>
  <si>
    <t>delta s1, h1</t>
  </si>
  <si>
    <t>tot for exp</t>
  </si>
  <si>
    <t>whs 1, 1</t>
  </si>
  <si>
    <t>change</t>
  </si>
  <si>
    <t>x</t>
  </si>
  <si>
    <t>blowup</t>
  </si>
  <si>
    <t>must do for all hh</t>
  </si>
  <si>
    <t>Impact of a small change in ebeta [1, 1</t>
  </si>
  <si>
    <t>x * exp(change)</t>
  </si>
  <si>
    <t xml:space="preserve">x * x * </t>
  </si>
  <si>
    <t>sum over h(exp(change)*x[h, 1])</t>
  </si>
  <si>
    <t>etarg</t>
  </si>
  <si>
    <t>targ</t>
  </si>
  <si>
    <t>vector is state stacked</t>
  </si>
  <si>
    <t>s2c1</t>
  </si>
  <si>
    <t>s3c1</t>
  </si>
  <si>
    <t>s1c2</t>
  </si>
  <si>
    <t>s3c2</t>
  </si>
  <si>
    <t>s2c2</t>
  </si>
  <si>
    <t>char1</t>
  </si>
  <si>
    <t>char2</t>
  </si>
  <si>
    <t>raised</t>
  </si>
  <si>
    <t>J[1, 1]</t>
  </si>
  <si>
    <t>J[1, 2]</t>
  </si>
  <si>
    <t>beta1, d2</t>
  </si>
  <si>
    <t>my calculations</t>
  </si>
  <si>
    <t>J[2, 2]</t>
  </si>
  <si>
    <t xml:space="preserve"> -(2 * ((exp(b11 * x11 + b12 * x12 + c1) * x11 * x12 + exp(b11 * 
    x21 + b12 * x22 + c2) * x21 * x22 + (exp(b11 * x11 + b12 * 
    x12 + c1) * x11 * x11 + exp(b11 * x21 + b12 * x22 + c2) * 
    x21 * x21)) * ((t11 - (exp(b11 * x11 + b12 * x12 + c1) * 
    x11 + exp(b11 * x21 + b12 * x22 + c2) * x21)) + (t12 - (exp(b11 * 
    x11 + b12 * x12 + c1) * x12 + exp(b11 * x21 + b12 * x22 + 
    c2) * x22)))))</t>
  </si>
  <si>
    <t xml:space="preserve"> -(2 * ((
exp(b11 * x11 + b12 * x12 + c1) * x11 * x12 + 
exp(b11 * x21 + b12 * x22 + c2) * x21 * x22 + 
(exp(b11 * x11 + b12 *  x12 + c1) * x11 * x11 + exp(b11 * x21 + b12 * x22 + c2) * x21 * x21)) *
((t11 - (exp(b11 * x11 + b12 * x12 + c1) * x11 + exp(b11 * x21 + b12 * x22 + c2) * x21)) +
 (t12 - (exp(b11 *  x11 + b12 * x12 + c1) * x12 + exp(b11 * x21 + b12 * x22 + c2) * x22)))))</t>
  </si>
  <si>
    <t xml:space="preserve"> -(2 * ((
w11 * x11 * x12 + 
w21 * x21 * x22 + 
(w11 * x11 * x11  +  w21 * x21 * x21)) *
((t11 - (w11 * x11  +  w21 * x21)) +
 (t12 - (w11 * x12  +  w21 * x22)))))</t>
  </si>
  <si>
    <t>i</t>
  </si>
  <si>
    <t>s</t>
  </si>
  <si>
    <t>k</t>
  </si>
  <si>
    <t>j</t>
  </si>
  <si>
    <t>J[i, j]=sum-h(ewhs * xhk * xhk)</t>
  </si>
  <si>
    <t>xsquared</t>
  </si>
  <si>
    <t>k1 part</t>
  </si>
  <si>
    <t>k2 part</t>
  </si>
  <si>
    <t>w_h1s2</t>
  </si>
  <si>
    <t xml:space="preserve"> exp(b21*x11 + b22*x12 + log(wh1 / (b21 * x11 + b22 * x12)))</t>
  </si>
  <si>
    <t xml:space="preserve"> exp(b21 * x11 + b22 * x12 + log(wh1/(b21 * x11 + b22 * x12))) * 
    (x11 - wh1 * x11/(b21 * x11 + b22 * x12)^2/(wh1/(b21 * x11 + 
        b22 * x12)))</t>
  </si>
  <si>
    <t>w12 *     (x11 - wh1 * x11/(b21 * x11 + b22 * x12)^2/(wh1/(b21 * x11 + 
        b22 * x12)))</t>
  </si>
  <si>
    <t>w12 *     
(x11 - wh1 * x11/(b21 * x11 + b22 * x12)^2  /
 (wh1/(b21 * x11 +  b22 * x12)) )</t>
  </si>
  <si>
    <t>D(w_h1s2, "b21")</t>
  </si>
  <si>
    <t>&gt; ebeta</t>
  </si>
  <si>
    <t>s1</t>
  </si>
  <si>
    <t>s2</t>
  </si>
  <si>
    <t>s3</t>
  </si>
  <si>
    <t>s4</t>
  </si>
  <si>
    <t>k1</t>
  </si>
  <si>
    <t>k2</t>
  </si>
  <si>
    <t>k3</t>
  </si>
  <si>
    <t>&gt;   edelta</t>
  </si>
  <si>
    <t>h1</t>
  </si>
  <si>
    <t>h2</t>
  </si>
  <si>
    <t>h4</t>
  </si>
  <si>
    <t>h5</t>
  </si>
  <si>
    <t>h6</t>
  </si>
  <si>
    <t>h3</t>
  </si>
  <si>
    <t>xmat</t>
  </si>
  <si>
    <t>&gt;   ewhs</t>
  </si>
  <si>
    <t>h1s1</t>
  </si>
  <si>
    <t>&gt; ebeta %*% t(xmat)</t>
  </si>
  <si>
    <t>beta_x</t>
  </si>
  <si>
    <t>plus delta</t>
  </si>
  <si>
    <t>[,7]</t>
  </si>
  <si>
    <t>[,8]</t>
  </si>
  <si>
    <t>[,9]</t>
  </si>
  <si>
    <t>[,10]</t>
  </si>
  <si>
    <t>[,11]</t>
  </si>
  <si>
    <t>[,12]</t>
  </si>
  <si>
    <t>[7,]</t>
  </si>
  <si>
    <t>[8,]</t>
  </si>
  <si>
    <t>[9,]</t>
  </si>
  <si>
    <t>[10,]</t>
  </si>
  <si>
    <t>[11,]</t>
  </si>
  <si>
    <t>[12,]</t>
  </si>
  <si>
    <t>ewh</t>
  </si>
  <si>
    <t>ebeta at start of iteration 2</t>
  </si>
  <si>
    <t>&gt; targets</t>
  </si>
  <si>
    <t>&gt;   ewhs at iteration 2 before Jac</t>
  </si>
  <si>
    <t>etargets at iteration 2 before jac</t>
  </si>
  <si>
    <t>edelta at iteration 2 before jac</t>
  </si>
  <si>
    <t>finite differences jac at iteration 2 using ebeta, etc.</t>
  </si>
  <si>
    <t>d at iteration 2 before jac</t>
  </si>
  <si>
    <t>ews</t>
  </si>
  <si>
    <t>wh</t>
  </si>
  <si>
    <t>beta</t>
  </si>
  <si>
    <t>h</t>
  </si>
  <si>
    <t>bx</t>
  </si>
  <si>
    <t>exp(exponent)</t>
  </si>
  <si>
    <t>wh/sum</t>
  </si>
  <si>
    <t>log of above</t>
  </si>
  <si>
    <t>alternative calc</t>
  </si>
  <si>
    <t>ln(wh</t>
  </si>
  <si>
    <t>sum of exp(exponent</t>
  </si>
  <si>
    <t>sum expon</t>
  </si>
  <si>
    <t>This is the delta part of the partial derivative, for off-diagonal elements  of Jacobian</t>
  </si>
  <si>
    <t>for h1:</t>
  </si>
  <si>
    <t>sum(b.s, all k)</t>
  </si>
  <si>
    <t>exp_denom</t>
  </si>
  <si>
    <t>e4: for state in question</t>
  </si>
  <si>
    <t>e4=exp(left)</t>
  </si>
  <si>
    <t>term1</t>
  </si>
  <si>
    <t>term2</t>
  </si>
  <si>
    <t>e4</t>
  </si>
  <si>
    <t xml:space="preserve"> e4</t>
  </si>
  <si>
    <t>denom</t>
  </si>
  <si>
    <t xml:space="preserve"> x1</t>
  </si>
  <si>
    <t>term3</t>
  </si>
  <si>
    <t>denom_exponent</t>
  </si>
  <si>
    <t>term4</t>
  </si>
  <si>
    <t>whs=2</t>
  </si>
  <si>
    <t>calc before whs</t>
  </si>
  <si>
    <t>X</t>
  </si>
  <si>
    <t>ws1h</t>
  </si>
  <si>
    <t>ws2h</t>
  </si>
  <si>
    <t>targs2h</t>
  </si>
  <si>
    <t>targs1h</t>
  </si>
  <si>
    <t>delta0</t>
  </si>
  <si>
    <t>exp(.)</t>
  </si>
  <si>
    <t>iter0</t>
  </si>
  <si>
    <t>beta.s1k1</t>
  </si>
  <si>
    <t>beta.s2k1</t>
  </si>
  <si>
    <t>wh_check</t>
  </si>
  <si>
    <t>scaling: we want chg(F ie targs) wrt each beta to be around 1</t>
  </si>
  <si>
    <t>initial</t>
  </si>
  <si>
    <t>new</t>
  </si>
  <si>
    <t>delta1</t>
  </si>
  <si>
    <t>iter1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</si>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</sst>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  <numFmt numFmtId="166" formatCode="_(* #,##0_);_(* \(#,##0\);_(* &quot;-&quot;??_);_(@_)"/>
    <numFmt numFmtId="167" formatCode="_(* #,##0.00000_);_(* \(#,##0.00000\);_(* &quot;-&quot;??_);_(@_)"/>
    <numFmt numFmtId="169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1"/>
    <xf numFmtId="0" fontId="1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43" fontId="0" fillId="0" borderId="0" xfId="2" applyFont="1"/>
    <xf numFmtId="164" fontId="0" fillId="0" borderId="0" xfId="2" applyNumberFormat="1" applyFont="1"/>
    <xf numFmtId="165" fontId="0" fillId="0" borderId="0" xfId="2" applyNumberFormat="1" applyFont="1"/>
    <xf numFmtId="43" fontId="0" fillId="0" borderId="0" xfId="2" applyNumberFormat="1" applyFont="1"/>
    <xf numFmtId="43" fontId="0" fillId="0" borderId="0" xfId="0" applyNumberFormat="1"/>
    <xf numFmtId="164" fontId="0" fillId="3" borderId="0" xfId="2" applyNumberFormat="1" applyFont="1" applyFill="1"/>
    <xf numFmtId="165" fontId="0" fillId="3" borderId="0" xfId="2" applyNumberFormat="1" applyFont="1" applyFill="1"/>
    <xf numFmtId="165" fontId="0" fillId="4" borderId="0" xfId="2" applyNumberFormat="1" applyFont="1" applyFill="1"/>
    <xf numFmtId="0" fontId="0" fillId="4" borderId="0" xfId="0" applyFill="1"/>
    <xf numFmtId="43" fontId="0" fillId="4" borderId="0" xfId="2" applyFont="1" applyFill="1"/>
    <xf numFmtId="43" fontId="0" fillId="4" borderId="0" xfId="2" applyNumberFormat="1" applyFont="1" applyFill="1"/>
    <xf numFmtId="0" fontId="5" fillId="0" borderId="0" xfId="0" applyFont="1" applyAlignment="1">
      <alignment vertical="center"/>
    </xf>
    <xf numFmtId="166" fontId="0" fillId="0" borderId="0" xfId="2" applyNumberFormat="1" applyFont="1"/>
    <xf numFmtId="166" fontId="0" fillId="0" borderId="0" xfId="0" applyNumberFormat="1"/>
    <xf numFmtId="166" fontId="0" fillId="4" borderId="0" xfId="0" applyNumberFormat="1" applyFill="1"/>
    <xf numFmtId="43" fontId="0" fillId="5" borderId="0" xfId="2" applyFont="1" applyFill="1"/>
    <xf numFmtId="165" fontId="0" fillId="0" borderId="0" xfId="0" applyNumberFormat="1"/>
    <xf numFmtId="0" fontId="0" fillId="5" borderId="0" xfId="0" applyFill="1"/>
    <xf numFmtId="165" fontId="0" fillId="6" borderId="0" xfId="2" applyNumberFormat="1" applyFont="1" applyFill="1"/>
    <xf numFmtId="0" fontId="0" fillId="7" borderId="0" xfId="0" applyFill="1"/>
    <xf numFmtId="165" fontId="0" fillId="7" borderId="0" xfId="2" applyNumberFormat="1" applyFont="1" applyFill="1"/>
    <xf numFmtId="164" fontId="0" fillId="0" borderId="0" xfId="0" applyNumberFormat="1"/>
    <xf numFmtId="0" fontId="0" fillId="3" borderId="0" xfId="0" applyFill="1"/>
    <xf numFmtId="165" fontId="0" fillId="3" borderId="0" xfId="0" applyNumberFormat="1" applyFill="1"/>
    <xf numFmtId="43" fontId="0" fillId="8" borderId="0" xfId="2" applyFont="1" applyFill="1"/>
    <xf numFmtId="43" fontId="0" fillId="9" borderId="0" xfId="2" applyFont="1" applyFill="1"/>
    <xf numFmtId="43" fontId="0" fillId="5" borderId="0" xfId="0" applyNumberFormat="1" applyFill="1"/>
    <xf numFmtId="0" fontId="0" fillId="0" borderId="0" xfId="0" applyAlignment="1">
      <alignment wrapText="1"/>
    </xf>
    <xf numFmtId="0" fontId="0" fillId="10" borderId="0" xfId="0" applyFill="1"/>
    <xf numFmtId="0" fontId="0" fillId="6" borderId="0" xfId="0" applyFill="1"/>
    <xf numFmtId="167" fontId="0" fillId="0" borderId="0" xfId="0" applyNumberFormat="1"/>
    <xf numFmtId="167" fontId="0" fillId="3" borderId="0" xfId="0" applyNumberFormat="1" applyFill="1"/>
    <xf numFmtId="167" fontId="0" fillId="7" borderId="0" xfId="2" applyNumberFormat="1" applyFont="1" applyFill="1"/>
    <xf numFmtId="43" fontId="0" fillId="3" borderId="0" xfId="2" applyFont="1" applyFill="1"/>
    <xf numFmtId="43" fontId="0" fillId="7" borderId="0" xfId="2" applyFont="1" applyFill="1"/>
    <xf numFmtId="169" fontId="0" fillId="6" borderId="0" xfId="2" applyNumberFormat="1" applyFont="1" applyFill="1" applyAlignment="1">
      <alignment horizontal="left" indent="1"/>
    </xf>
    <xf numFmtId="43" fontId="0" fillId="0" borderId="1" xfId="2" applyFont="1" applyBorder="1"/>
    <xf numFmtId="43" fontId="0" fillId="0" borderId="0" xfId="2" applyFont="1" applyBorder="1"/>
    <xf numFmtId="169" fontId="0" fillId="0" borderId="0" xfId="2" applyNumberFormat="1" applyFont="1"/>
    <xf numFmtId="169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266700</xdr:colOff>
      <xdr:row>17</xdr:row>
      <xdr:rowOff>142875</xdr:rowOff>
    </xdr:from>
    <xdr:to>
      <xdr:col>23</xdr:col>
      <xdr:colOff>590105</xdr:colOff>
      <xdr:row>25</xdr:row>
      <xdr:rowOff>66494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B208E6-F5EB-4298-AD3F-767DC1655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96675" y="3381375"/>
          <a:ext cx="3561905" cy="1447619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</xdr:colOff>
      <xdr:row>23</xdr:row>
      <xdr:rowOff>152400</xdr:rowOff>
    </xdr:from>
    <xdr:to>
      <xdr:col>36</xdr:col>
      <xdr:colOff>370711</xdr:colOff>
      <xdr:row>35</xdr:row>
      <xdr:rowOff>18781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3AE3DE-5B0B-4491-8708-E9EFF197D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06825" y="4533900"/>
          <a:ext cx="6114286" cy="21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57150</xdr:rowOff>
    </xdr:from>
    <xdr:to>
      <xdr:col>11</xdr:col>
      <xdr:colOff>456340</xdr:colOff>
      <xdr:row>38</xdr:row>
      <xdr:rowOff>189578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E9F-B479-4158-84F9-0F2510480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57150"/>
          <a:ext cx="6876190" cy="73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</xdr:rowOff>
    </xdr:from>
    <xdr:to>
      <xdr:col>7</xdr:col>
      <xdr:colOff>185640</xdr:colOff>
      <xdr:row>60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C27A07-B9CF-44E0-8EC1-F2F6A024F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1"/>
          <a:ext cx="4452840" cy="381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40</xdr:row>
      <xdr:rowOff>38100</xdr:rowOff>
    </xdr:from>
    <xdr:to>
      <xdr:col>14</xdr:col>
      <xdr:colOff>252158</xdr:colOff>
      <xdr:row>59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A84AB5E-8B2D-4A8A-B5CA-3C461AA94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0076" y="7658100"/>
          <a:ext cx="4376482" cy="3762375"/>
        </a:xfrm>
        <a:prstGeom prst="rect">
          <a:avLst/>
        </a:prstGeom>
      </xdr:spPr>
    </xdr:pic>
    <xdr:clientData/>
  </xdr:twoCellAnchor>
  <xdr:twoCellAnchor editAs="oneCell">
    <xdr:from>
      <xdr:col>21</xdr:col>
      <xdr:colOff>247651</xdr:colOff>
      <xdr:row>39</xdr:row>
      <xdr:rowOff>171451</xdr:rowOff>
    </xdr:from>
    <xdr:to>
      <xdr:col>28</xdr:col>
      <xdr:colOff>333239</xdr:colOff>
      <xdr:row>59</xdr:row>
      <xdr:rowOff>133351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6ADB8B2-6C0D-44EE-B5BA-6A8833B68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49251" y="7600951"/>
          <a:ext cx="4352788" cy="3771900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161924</xdr:colOff>
      <xdr:row>40</xdr:row>
      <xdr:rowOff>28574</xdr:rowOff>
    </xdr:from>
    <xdr:to>
      <xdr:col>21</xdr:col>
      <xdr:colOff>209549</xdr:colOff>
      <xdr:row>59</xdr:row>
      <xdr:rowOff>69445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326B97E-7814-41C5-B864-AC872BC18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6324" y="7648574"/>
          <a:ext cx="4314825" cy="36603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600075</xdr:colOff>
      <xdr:row>21</xdr:row>
      <xdr:rowOff>142875</xdr:rowOff>
    </xdr:from>
    <xdr:to>
      <xdr:col>30</xdr:col>
      <xdr:colOff>447049</xdr:colOff>
      <xdr:row>29</xdr:row>
      <xdr:rowOff>85542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35225F-69EE-4E93-8CBA-5EEF3DA69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54100" y="4143375"/>
          <a:ext cx="5009524" cy="14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5600000</xdr:colOff>
      <xdr:row>11</xdr:row>
      <xdr:rowOff>56905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087D98-540C-489D-A988-CF260C086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600000" cy="1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5915025</xdr:colOff>
      <xdr:row>4</xdr:row>
      <xdr:rowOff>76200</xdr:rowOff>
    </xdr:from>
    <xdr:to>
      <xdr:col>3</xdr:col>
      <xdr:colOff>209079</xdr:colOff>
      <xdr:row>8</xdr:row>
      <xdr:rowOff>9438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F2F08C-199D-4BE9-9633-AF4CD8ABC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24625" y="838200"/>
          <a:ext cx="3771429" cy="6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0</xdr:row>
      <xdr:rowOff>76200</xdr:rowOff>
    </xdr:from>
    <xdr:to>
      <xdr:col>8</xdr:col>
      <xdr:colOff>275717</xdr:colOff>
      <xdr:row>17</xdr:row>
      <xdr:rowOff>85319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36C84B-B967-4814-8D55-0C56113A7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76200"/>
          <a:ext cx="4066667" cy="3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10</xdr:col>
      <xdr:colOff>485105</xdr:colOff>
      <xdr:row>30</xdr:row>
      <xdr:rowOff>104476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18D550-F0F0-48B6-AE13-BDD33062F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429000"/>
          <a:ext cx="5361905" cy="23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304800</xdr:colOff>
      <xdr:row>16</xdr:row>
      <xdr:rowOff>38100</xdr:rowOff>
    </xdr:from>
    <xdr:to>
      <xdr:col>21</xdr:col>
      <xdr:colOff>389829</xdr:colOff>
      <xdr:row>28</xdr:row>
      <xdr:rowOff>142576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6BD5C9-0CE2-4B92-8600-182D8B70B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0" y="3086100"/>
          <a:ext cx="5571429" cy="23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5</xdr:row>
      <xdr:rowOff>57150</xdr:rowOff>
    </xdr:from>
    <xdr:to>
      <xdr:col>7</xdr:col>
      <xdr:colOff>237629</xdr:colOff>
      <xdr:row>9</xdr:row>
      <xdr:rowOff>47531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5CAEEB-F49C-4411-A18F-085F8AB50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1009650"/>
          <a:ext cx="3971429" cy="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11</xdr:row>
      <xdr:rowOff>180975</xdr:rowOff>
    </xdr:from>
    <xdr:to>
      <xdr:col>8</xdr:col>
      <xdr:colOff>104219</xdr:colOff>
      <xdr:row>15</xdr:row>
      <xdr:rowOff>47546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9C25DA-BA3C-40AE-B21D-7AEA51E4D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2276475"/>
          <a:ext cx="4447619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www.symbolab.com/solver/partial-derivative-calculator/%5Cfrac%7B%5Cpartial%7D%7B%5Cpartial%20x%7D%5Cleft(%5Cleft(t%20-%20e%5E%7B%5Cleft(xa%2Bd%5Cright)%7Da%5Cright)%5E%7B2%7D%20%2B%20%5Cleft(u-e%5E%7B%5Cleft(ya%2Bd%5Cright)%7Da%5Cright)%5E%7B2%7D%5Crigh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6453-DA42-42C2-999B-51A37BF7334D}">
  <dimension ref="B4:AU60"/>
  <sheetViews>
    <sheetView topLeftCell="A28" zoomScaleNormal="100" workbookViewId="0"/>
  </sheetViews>
  <sheetFormatPr defaultRowHeight="15" x14ac:dyDescent="0.25"/>
  <cols>
    <col min="13" max="13" width="10.140625" bestFit="1" customWidth="1"/>
    <col min="14" max="24" width="9.7109375" bestFit="1" customWidth="1"/>
    <col min="25" max="25" width="10.85546875" customWidth="1"/>
    <col min="28" max="28" width="11.28515625" customWidth="1"/>
    <col min="29" max="29" width="11.85546875" customWidth="1"/>
    <col min="30" max="30" width="4.85546875" customWidth="1"/>
    <col min="36" max="36" width="4.140625" customWidth="1"/>
    <col min="38" max="38" width="3" customWidth="1"/>
    <col min="41" max="41" width="5.28515625" customWidth="1"/>
    <col min="44" max="44" width="5.28515625" customWidth="1"/>
  </cols>
  <sheetData>
    <row r="4" spans="2:21" x14ac:dyDescent="0.25">
      <c r="C4" t="s">
        <v>126</v>
      </c>
      <c r="M4" t="s">
        <v>142</v>
      </c>
      <c r="N4" t="s">
        <v>127</v>
      </c>
      <c r="O4" t="s">
        <v>128</v>
      </c>
      <c r="P4" t="s">
        <v>129</v>
      </c>
      <c r="Q4" t="s">
        <v>130</v>
      </c>
    </row>
    <row r="5" spans="2:21" x14ac:dyDescent="0.25">
      <c r="D5" t="s">
        <v>131</v>
      </c>
      <c r="E5" t="s">
        <v>132</v>
      </c>
      <c r="F5" t="s">
        <v>133</v>
      </c>
      <c r="N5" t="s">
        <v>20</v>
      </c>
      <c r="O5" t="s">
        <v>21</v>
      </c>
      <c r="P5" t="s">
        <v>22</v>
      </c>
      <c r="Q5" t="s">
        <v>23</v>
      </c>
      <c r="R5" s="22" t="s">
        <v>159</v>
      </c>
    </row>
    <row r="6" spans="2:21" x14ac:dyDescent="0.25">
      <c r="D6" t="s">
        <v>20</v>
      </c>
      <c r="E6" t="s">
        <v>21</v>
      </c>
      <c r="F6" t="s">
        <v>22</v>
      </c>
      <c r="L6" t="s">
        <v>135</v>
      </c>
      <c r="M6" t="s">
        <v>26</v>
      </c>
      <c r="N6" s="27">
        <v>14.00623</v>
      </c>
      <c r="O6">
        <v>15.68613</v>
      </c>
      <c r="P6">
        <v>14.45462</v>
      </c>
      <c r="Q6">
        <v>15.53959</v>
      </c>
      <c r="R6" s="22">
        <v>59.686570000000003</v>
      </c>
    </row>
    <row r="7" spans="2:21" x14ac:dyDescent="0.25">
      <c r="B7" t="s">
        <v>127</v>
      </c>
      <c r="C7" t="s">
        <v>26</v>
      </c>
      <c r="D7" s="25">
        <v>-1.3422259999999999</v>
      </c>
      <c r="E7" s="25">
        <v>-0.61758389999999996</v>
      </c>
      <c r="F7" s="25">
        <v>-4.4842260000000002E-2</v>
      </c>
      <c r="L7" s="7" t="s">
        <v>136</v>
      </c>
      <c r="M7" t="s">
        <v>27</v>
      </c>
      <c r="N7">
        <v>14.76816</v>
      </c>
      <c r="O7">
        <v>16.430730000000001</v>
      </c>
      <c r="P7">
        <v>12.18375</v>
      </c>
      <c r="Q7">
        <v>14.050079999999999</v>
      </c>
      <c r="R7" s="22">
        <v>57.432719999999996</v>
      </c>
    </row>
    <row r="8" spans="2:21" x14ac:dyDescent="0.25">
      <c r="B8" t="s">
        <v>128</v>
      </c>
      <c r="C8" t="s">
        <v>27</v>
      </c>
      <c r="D8" s="7">
        <v>-1.4202509999999999</v>
      </c>
      <c r="E8" s="7">
        <v>-0.48733559999999998</v>
      </c>
      <c r="F8" s="7">
        <v>2.2603419999999999E-2</v>
      </c>
      <c r="L8" s="7" t="s">
        <v>140</v>
      </c>
      <c r="M8" t="s">
        <v>28</v>
      </c>
      <c r="N8">
        <v>14.99619</v>
      </c>
      <c r="O8">
        <v>16.155639999999998</v>
      </c>
      <c r="P8">
        <v>16.71444</v>
      </c>
      <c r="Q8">
        <v>16.32274</v>
      </c>
      <c r="R8" s="22">
        <v>64.189009999999996</v>
      </c>
    </row>
    <row r="9" spans="2:21" x14ac:dyDescent="0.25">
      <c r="B9" t="s">
        <v>129</v>
      </c>
      <c r="C9" t="s">
        <v>28</v>
      </c>
      <c r="D9" s="7">
        <v>-1.7665090000000001</v>
      </c>
      <c r="E9" s="7">
        <v>-0.67411920000000003</v>
      </c>
      <c r="F9" s="7">
        <v>0.14380156999999999</v>
      </c>
      <c r="L9" s="7" t="s">
        <v>137</v>
      </c>
      <c r="M9" t="s">
        <v>29</v>
      </c>
      <c r="N9">
        <v>16.22072</v>
      </c>
      <c r="O9">
        <v>17.69462</v>
      </c>
      <c r="P9">
        <v>13.897309999999999</v>
      </c>
      <c r="Q9">
        <v>15.545120000000001</v>
      </c>
      <c r="R9" s="22">
        <v>63.357770000000002</v>
      </c>
    </row>
    <row r="10" spans="2:21" x14ac:dyDescent="0.25">
      <c r="B10" t="s">
        <v>130</v>
      </c>
      <c r="C10" t="s">
        <v>29</v>
      </c>
      <c r="D10" s="7">
        <v>-1.7244999999999999</v>
      </c>
      <c r="E10" s="7">
        <v>-0.45522069999999998</v>
      </c>
      <c r="F10" s="7">
        <v>3.1176349999999999E-2</v>
      </c>
      <c r="L10" s="7" t="s">
        <v>138</v>
      </c>
      <c r="M10" t="s">
        <v>30</v>
      </c>
      <c r="N10">
        <v>12.18357</v>
      </c>
      <c r="O10">
        <v>13.708539999999999</v>
      </c>
      <c r="P10">
        <v>10.83808</v>
      </c>
      <c r="Q10">
        <v>12.989739999999999</v>
      </c>
      <c r="R10" s="22">
        <v>49.719929999999998</v>
      </c>
    </row>
    <row r="11" spans="2:21" x14ac:dyDescent="0.25">
      <c r="L11" s="7" t="s">
        <v>139</v>
      </c>
      <c r="M11" t="s">
        <v>31</v>
      </c>
      <c r="N11">
        <v>13.799950000000001</v>
      </c>
      <c r="O11">
        <v>13.661910000000001</v>
      </c>
      <c r="P11">
        <v>10.009829999999999</v>
      </c>
      <c r="Q11">
        <v>10.711790000000001</v>
      </c>
      <c r="R11" s="22">
        <v>48.183480000000003</v>
      </c>
      <c r="U11" t="s">
        <v>179</v>
      </c>
    </row>
    <row r="12" spans="2:21" x14ac:dyDescent="0.25">
      <c r="M12" s="23" t="s">
        <v>167</v>
      </c>
      <c r="N12" s="34">
        <f>+SUM(N6:N11)</f>
        <v>85.974819999999994</v>
      </c>
      <c r="O12" s="34">
        <f t="shared" ref="O12:Q12" si="0">+SUM(O6:O11)</f>
        <v>93.337569999999999</v>
      </c>
      <c r="P12" s="34">
        <f t="shared" si="0"/>
        <v>78.098029999999994</v>
      </c>
      <c r="Q12" s="34">
        <f t="shared" si="0"/>
        <v>85.159059999999982</v>
      </c>
      <c r="S12" s="22"/>
    </row>
    <row r="13" spans="2:21" x14ac:dyDescent="0.25">
      <c r="C13" t="s">
        <v>134</v>
      </c>
      <c r="D13" t="s">
        <v>135</v>
      </c>
      <c r="E13" s="7" t="s">
        <v>136</v>
      </c>
      <c r="F13" s="7" t="s">
        <v>140</v>
      </c>
      <c r="G13" s="7" t="s">
        <v>137</v>
      </c>
      <c r="H13" s="7" t="s">
        <v>138</v>
      </c>
      <c r="I13" s="7" t="s">
        <v>139</v>
      </c>
      <c r="J13" s="7"/>
    </row>
    <row r="14" spans="2:21" x14ac:dyDescent="0.25">
      <c r="C14" t="s">
        <v>62</v>
      </c>
      <c r="D14">
        <v>3.2037610000000001</v>
      </c>
      <c r="E14">
        <v>4.0895900000000003</v>
      </c>
      <c r="F14">
        <v>2.8940299999999999</v>
      </c>
      <c r="G14">
        <v>3.9293200000000001</v>
      </c>
      <c r="H14">
        <v>3.4629859999999999</v>
      </c>
      <c r="I14">
        <v>3.9372370000000001</v>
      </c>
      <c r="M14" t="s">
        <v>143</v>
      </c>
    </row>
    <row r="15" spans="2:21" x14ac:dyDescent="0.25">
      <c r="M15" t="s">
        <v>145</v>
      </c>
      <c r="N15" s="37">
        <f>+D20*D7+E20*E7+F20*F7</f>
        <v>-0.56425901946136792</v>
      </c>
    </row>
    <row r="16" spans="2:21" x14ac:dyDescent="0.25">
      <c r="M16" t="s">
        <v>146</v>
      </c>
      <c r="N16" s="35">
        <f>+N15+D14</f>
        <v>2.6395019805386322</v>
      </c>
    </row>
    <row r="17" spans="2:19" x14ac:dyDescent="0.25">
      <c r="M17" t="s">
        <v>79</v>
      </c>
      <c r="N17" s="36">
        <f>+EXP(N16)</f>
        <v>14.00622649713349</v>
      </c>
    </row>
    <row r="18" spans="2:19" x14ac:dyDescent="0.25">
      <c r="C18" t="s">
        <v>141</v>
      </c>
      <c r="D18" t="s">
        <v>131</v>
      </c>
      <c r="E18" t="s">
        <v>132</v>
      </c>
      <c r="F18" t="s">
        <v>133</v>
      </c>
    </row>
    <row r="19" spans="2:19" x14ac:dyDescent="0.25">
      <c r="D19" t="s">
        <v>20</v>
      </c>
      <c r="E19" t="s">
        <v>21</v>
      </c>
      <c r="F19" t="s">
        <v>22</v>
      </c>
      <c r="M19" t="s">
        <v>144</v>
      </c>
    </row>
    <row r="20" spans="2:19" x14ac:dyDescent="0.25">
      <c r="B20" t="s">
        <v>135</v>
      </c>
      <c r="C20" t="s">
        <v>26</v>
      </c>
      <c r="D20" s="24">
        <v>0.113703411</v>
      </c>
      <c r="E20" s="24">
        <v>0.62229939999999995</v>
      </c>
      <c r="F20" s="24">
        <v>0.60927469999999995</v>
      </c>
      <c r="N20" t="s">
        <v>135</v>
      </c>
      <c r="O20" s="7" t="s">
        <v>136</v>
      </c>
      <c r="P20" s="7" t="s">
        <v>140</v>
      </c>
      <c r="Q20" s="7" t="s">
        <v>137</v>
      </c>
      <c r="R20" s="7" t="s">
        <v>138</v>
      </c>
      <c r="S20" s="7" t="s">
        <v>139</v>
      </c>
    </row>
    <row r="21" spans="2:19" x14ac:dyDescent="0.25">
      <c r="B21" s="7" t="s">
        <v>136</v>
      </c>
      <c r="C21" t="s">
        <v>27</v>
      </c>
      <c r="D21">
        <v>0.62337944199999995</v>
      </c>
      <c r="E21">
        <v>0.8609154</v>
      </c>
      <c r="F21">
        <v>0.64031059999999995</v>
      </c>
      <c r="N21" t="s">
        <v>20</v>
      </c>
      <c r="O21" t="s">
        <v>21</v>
      </c>
      <c r="P21" t="s">
        <v>22</v>
      </c>
      <c r="Q21" t="s">
        <v>23</v>
      </c>
      <c r="R21" t="s">
        <v>24</v>
      </c>
      <c r="S21" t="s">
        <v>25</v>
      </c>
    </row>
    <row r="22" spans="2:19" x14ac:dyDescent="0.25">
      <c r="B22" s="7" t="s">
        <v>140</v>
      </c>
      <c r="C22" t="s">
        <v>28</v>
      </c>
      <c r="D22">
        <v>9.4957559999999993E-3</v>
      </c>
      <c r="E22">
        <v>0.23255049999999999</v>
      </c>
      <c r="F22">
        <v>0.6660838</v>
      </c>
      <c r="L22" t="s">
        <v>127</v>
      </c>
      <c r="M22" t="s">
        <v>26</v>
      </c>
      <c r="N22" s="24">
        <v>-0.56425910000000001</v>
      </c>
      <c r="O22">
        <v>-1.3971169999999999</v>
      </c>
      <c r="P22">
        <v>-0.18623361999999999</v>
      </c>
      <c r="Q22">
        <v>-1.14303</v>
      </c>
      <c r="R22">
        <v>-0.96289829999999998</v>
      </c>
      <c r="S22">
        <v>-1.3125720000000001</v>
      </c>
    </row>
    <row r="23" spans="2:19" x14ac:dyDescent="0.25">
      <c r="B23" s="7" t="s">
        <v>137</v>
      </c>
      <c r="C23" t="s">
        <v>29</v>
      </c>
      <c r="D23">
        <v>0.51425114100000002</v>
      </c>
      <c r="E23">
        <v>0.69359130000000002</v>
      </c>
      <c r="F23">
        <v>0.54497479999999998</v>
      </c>
      <c r="L23" t="s">
        <v>128</v>
      </c>
      <c r="M23" t="s">
        <v>27</v>
      </c>
      <c r="N23">
        <v>-0.4509843</v>
      </c>
      <c r="O23">
        <v>-1.2904370000000001</v>
      </c>
      <c r="P23">
        <v>-0.11176073</v>
      </c>
      <c r="Q23">
        <v>-1.0560590000000001</v>
      </c>
      <c r="R23">
        <v>-0.84496729999999998</v>
      </c>
      <c r="S23">
        <v>-1.3226249999999999</v>
      </c>
    </row>
    <row r="24" spans="2:19" x14ac:dyDescent="0.25">
      <c r="B24" s="7" t="s">
        <v>138</v>
      </c>
      <c r="C24" t="s">
        <v>30</v>
      </c>
      <c r="D24">
        <v>0.28273358399999998</v>
      </c>
      <c r="E24">
        <v>0.92343350000000002</v>
      </c>
      <c r="F24">
        <v>0.29231580000000001</v>
      </c>
      <c r="L24" t="s">
        <v>129</v>
      </c>
      <c r="M24" t="s">
        <v>28</v>
      </c>
      <c r="N24">
        <v>-0.53274750000000004</v>
      </c>
      <c r="O24">
        <v>-1.589488</v>
      </c>
      <c r="P24">
        <v>-7.7757220000000002E-2</v>
      </c>
      <c r="Q24">
        <v>-1.2976240000000001</v>
      </c>
      <c r="R24">
        <v>-1.0799202999999999</v>
      </c>
      <c r="S24">
        <v>-1.63367</v>
      </c>
    </row>
    <row r="25" spans="2:19" x14ac:dyDescent="0.25">
      <c r="B25" s="7" t="s">
        <v>139</v>
      </c>
      <c r="C25" t="s">
        <v>31</v>
      </c>
      <c r="D25">
        <v>0.83729562800000001</v>
      </c>
      <c r="E25">
        <v>0.28622330000000001</v>
      </c>
      <c r="F25">
        <v>0.26682080000000002</v>
      </c>
      <c r="L25" t="s">
        <v>130</v>
      </c>
      <c r="M25" t="s">
        <v>29</v>
      </c>
      <c r="N25">
        <v>-0.4603701</v>
      </c>
      <c r="O25">
        <v>-1.4469620000000001</v>
      </c>
      <c r="P25">
        <v>-0.10147117</v>
      </c>
      <c r="Q25">
        <v>-1.185573</v>
      </c>
      <c r="R25">
        <v>-0.89882680000000004</v>
      </c>
      <c r="S25">
        <v>-1.565893</v>
      </c>
    </row>
    <row r="27" spans="2:19" x14ac:dyDescent="0.25">
      <c r="M27" s="2" t="s">
        <v>160</v>
      </c>
    </row>
    <row r="28" spans="2:19" x14ac:dyDescent="0.25">
      <c r="C28" t="s">
        <v>161</v>
      </c>
      <c r="M28" t="s">
        <v>126</v>
      </c>
      <c r="N28" t="s">
        <v>131</v>
      </c>
      <c r="O28" t="s">
        <v>132</v>
      </c>
      <c r="P28" t="s">
        <v>133</v>
      </c>
    </row>
    <row r="29" spans="2:19" x14ac:dyDescent="0.25">
      <c r="D29" t="s">
        <v>20</v>
      </c>
      <c r="E29" t="s">
        <v>21</v>
      </c>
      <c r="F29" t="s">
        <v>22</v>
      </c>
      <c r="N29" t="s">
        <v>20</v>
      </c>
      <c r="O29" t="s">
        <v>21</v>
      </c>
      <c r="P29" t="s">
        <v>22</v>
      </c>
    </row>
    <row r="30" spans="2:19" x14ac:dyDescent="0.25">
      <c r="C30" t="s">
        <v>26</v>
      </c>
      <c r="D30" s="7">
        <v>34.282089999999997</v>
      </c>
      <c r="E30" s="7">
        <v>51.368760000000002</v>
      </c>
      <c r="F30" s="7">
        <v>44.062069999999999</v>
      </c>
      <c r="L30" t="s">
        <v>127</v>
      </c>
      <c r="M30" t="s">
        <v>26</v>
      </c>
      <c r="N30" s="6">
        <v>0.2189342</v>
      </c>
      <c r="O30" s="6">
        <v>-6.4479410000000001E-2</v>
      </c>
      <c r="P30" s="6">
        <v>-7.8799941999999998E-2</v>
      </c>
    </row>
    <row r="31" spans="2:19" x14ac:dyDescent="0.25">
      <c r="C31" t="s">
        <v>27</v>
      </c>
      <c r="D31" s="7">
        <v>36.594160000000002</v>
      </c>
      <c r="E31" s="7">
        <v>56.506270000000001</v>
      </c>
      <c r="F31" s="7">
        <v>48.134729999999998</v>
      </c>
      <c r="L31" t="s">
        <v>128</v>
      </c>
      <c r="M31" t="s">
        <v>27</v>
      </c>
      <c r="N31" s="6">
        <v>0.14248179999999999</v>
      </c>
      <c r="O31" s="6">
        <v>7.4957490000000002E-2</v>
      </c>
      <c r="P31" s="6">
        <v>-1.7169752999999999E-2</v>
      </c>
    </row>
    <row r="32" spans="2:19" x14ac:dyDescent="0.25">
      <c r="C32" t="s">
        <v>28</v>
      </c>
      <c r="D32" s="7">
        <v>27.989260000000002</v>
      </c>
      <c r="E32" s="7">
        <v>45.883310000000002</v>
      </c>
      <c r="F32" s="7">
        <v>41.1539</v>
      </c>
      <c r="L32" t="s">
        <v>129</v>
      </c>
      <c r="M32" t="s">
        <v>28</v>
      </c>
      <c r="N32" s="6">
        <v>-0.19565949999999999</v>
      </c>
      <c r="O32" s="6">
        <v>-0.11198586000000001</v>
      </c>
      <c r="P32" s="6">
        <v>0.102810136</v>
      </c>
    </row>
    <row r="33" spans="3:47" x14ac:dyDescent="0.25">
      <c r="C33" t="s">
        <v>29</v>
      </c>
      <c r="D33" s="7">
        <v>31.316079999999999</v>
      </c>
      <c r="E33" s="7">
        <v>51.405160000000002</v>
      </c>
      <c r="F33" s="7">
        <v>44.463529999999999</v>
      </c>
      <c r="L33" t="s">
        <v>130</v>
      </c>
      <c r="M33" t="s">
        <v>29</v>
      </c>
      <c r="N33" s="6">
        <v>-0.1657679</v>
      </c>
      <c r="O33" s="6">
        <v>0.10154052</v>
      </c>
      <c r="P33" s="6">
        <v>-6.8307319999999999E-3</v>
      </c>
    </row>
    <row r="35" spans="3:47" x14ac:dyDescent="0.25">
      <c r="C35" t="s">
        <v>163</v>
      </c>
    </row>
    <row r="36" spans="3:47" x14ac:dyDescent="0.25">
      <c r="D36" t="s">
        <v>20</v>
      </c>
      <c r="E36" t="s">
        <v>21</v>
      </c>
      <c r="F36" t="s">
        <v>22</v>
      </c>
      <c r="M36" t="s">
        <v>164</v>
      </c>
      <c r="AB36" t="s">
        <v>188</v>
      </c>
      <c r="AC36" t="s">
        <v>188</v>
      </c>
      <c r="AE36" t="s">
        <v>185</v>
      </c>
      <c r="AF36" t="s">
        <v>185</v>
      </c>
      <c r="AG36" t="s">
        <v>185</v>
      </c>
      <c r="AH36" t="s">
        <v>185</v>
      </c>
      <c r="AI36" t="s">
        <v>185</v>
      </c>
      <c r="AK36" t="s">
        <v>186</v>
      </c>
      <c r="AM36" t="s">
        <v>191</v>
      </c>
      <c r="AP36" t="s">
        <v>193</v>
      </c>
    </row>
    <row r="37" spans="3:47" x14ac:dyDescent="0.25">
      <c r="C37" t="s">
        <v>26</v>
      </c>
      <c r="D37" s="7">
        <v>32.545400000000001</v>
      </c>
      <c r="E37" s="7">
        <v>51.290880000000001</v>
      </c>
      <c r="F37" s="7">
        <v>44.453560000000003</v>
      </c>
      <c r="N37" t="s">
        <v>135</v>
      </c>
      <c r="O37" s="7" t="s">
        <v>136</v>
      </c>
      <c r="P37" s="7" t="s">
        <v>140</v>
      </c>
      <c r="Q37" s="7" t="s">
        <v>137</v>
      </c>
      <c r="R37" s="7" t="s">
        <v>138</v>
      </c>
      <c r="S37" s="7" t="s">
        <v>139</v>
      </c>
      <c r="Y37" t="s">
        <v>180</v>
      </c>
      <c r="AB37" t="s">
        <v>183</v>
      </c>
      <c r="AE37" t="s">
        <v>182</v>
      </c>
      <c r="AS37" t="s">
        <v>195</v>
      </c>
    </row>
    <row r="38" spans="3:47" x14ac:dyDescent="0.25">
      <c r="C38" t="s">
        <v>27</v>
      </c>
      <c r="D38" s="7">
        <v>32.545400000000001</v>
      </c>
      <c r="E38" s="7">
        <v>51.290880000000001</v>
      </c>
      <c r="F38" s="7">
        <v>44.453560000000003</v>
      </c>
      <c r="I38">
        <f>+EXP(10)</f>
        <v>22026.465794806718</v>
      </c>
      <c r="N38">
        <v>2.7016580000000001</v>
      </c>
      <c r="O38">
        <v>2.6587360000000002</v>
      </c>
      <c r="P38">
        <v>2.7747570000000001</v>
      </c>
      <c r="Q38">
        <v>2.7588430000000002</v>
      </c>
      <c r="R38">
        <v>2.5164049999999998</v>
      </c>
      <c r="S38">
        <v>2.4787750000000002</v>
      </c>
      <c r="AB38" t="s">
        <v>181</v>
      </c>
      <c r="AC38" t="s">
        <v>184</v>
      </c>
      <c r="AE38" t="s">
        <v>190</v>
      </c>
      <c r="AF38" t="s">
        <v>187</v>
      </c>
      <c r="AG38" t="s">
        <v>192</v>
      </c>
      <c r="AH38" t="s">
        <v>189</v>
      </c>
      <c r="AI38" t="s">
        <v>185</v>
      </c>
      <c r="AK38" t="s">
        <v>187</v>
      </c>
      <c r="AM38" t="s">
        <v>63</v>
      </c>
      <c r="AN38" t="s">
        <v>191</v>
      </c>
      <c r="AP38" t="s">
        <v>63</v>
      </c>
      <c r="AQ38" t="s">
        <v>193</v>
      </c>
      <c r="AT38" t="s">
        <v>194</v>
      </c>
    </row>
    <row r="39" spans="3:47" x14ac:dyDescent="0.25">
      <c r="C39" t="s">
        <v>28</v>
      </c>
      <c r="D39" s="7">
        <v>32.545400000000001</v>
      </c>
      <c r="E39" s="7">
        <v>51.290880000000001</v>
      </c>
      <c r="F39" s="7">
        <v>44.453560000000003</v>
      </c>
      <c r="I39">
        <f>+LN(I38)</f>
        <v>10</v>
      </c>
      <c r="AA39" t="s">
        <v>135</v>
      </c>
      <c r="AB39" s="5">
        <f>+N$31*D20+O$31*E20+P$31*F20</f>
        <v>5.23855716097767E-2</v>
      </c>
      <c r="AC39" s="5">
        <f>+EXP(AB39)</f>
        <v>1.0537819726044677</v>
      </c>
      <c r="AD39" s="9"/>
      <c r="AE39" s="7">
        <f>D20</f>
        <v>0.113703411</v>
      </c>
      <c r="AF39" s="9">
        <f>+AC39</f>
        <v>1.0537819726044677</v>
      </c>
      <c r="AG39" s="9">
        <f>+$N$30*$D20+$O$30*$E20+$P$30*$F20</f>
        <v>-6.3242743852865185E-2</v>
      </c>
      <c r="AH39" s="9">
        <f>+EXP(AG39)</f>
        <v>0.9387155785938931</v>
      </c>
      <c r="AI39">
        <f>+AE39*AF39/AH39</f>
        <v>0.12764101019279284</v>
      </c>
      <c r="AK39" s="9">
        <f>+AC39</f>
        <v>1.0537819726044677</v>
      </c>
      <c r="AM39" s="9">
        <f>+N$32*D20+O$32*E20+P$32*F20</f>
        <v>-2.9296271262679308E-2</v>
      </c>
      <c r="AN39">
        <f>+EXP(AM39)</f>
        <v>0.97112870431372667</v>
      </c>
      <c r="AP39" s="9">
        <f>+N$33*D20+O$33*E20+P$33*F20</f>
        <v>4.017843681730069E-2</v>
      </c>
      <c r="AQ39">
        <f>+EXP(AP39)</f>
        <v>1.0409965097248832</v>
      </c>
      <c r="AS39" s="9">
        <f>-(AI39+AK39+AN39+AQ39)</f>
        <v>-3.1935481968358701</v>
      </c>
      <c r="AT39" s="26">
        <f>+E55</f>
        <v>15.706009999999999</v>
      </c>
      <c r="AU39" s="9">
        <f>+AS39*AT39</f>
        <v>-50.157899914986139</v>
      </c>
    </row>
    <row r="40" spans="3:47" x14ac:dyDescent="0.25">
      <c r="C40" t="s">
        <v>29</v>
      </c>
      <c r="D40" s="7">
        <v>32.545400000000001</v>
      </c>
      <c r="E40" s="7">
        <v>51.290880000000001</v>
      </c>
      <c r="F40" s="7">
        <v>44.453560000000003</v>
      </c>
      <c r="N40" t="s">
        <v>165</v>
      </c>
      <c r="AA40" s="7" t="s">
        <v>136</v>
      </c>
      <c r="AB40" s="5">
        <f t="shared" ref="AB40:AB44" si="1">+N$31*D21+O$31*E21+P$31*F21</f>
        <v>0.14235830762021978</v>
      </c>
      <c r="AC40" s="5">
        <f t="shared" ref="AC40:AC44" si="2">+EXP(AB40)</f>
        <v>1.1529896995283029</v>
      </c>
      <c r="AD40" s="9"/>
      <c r="AE40" s="7">
        <f t="shared" ref="AE40:AE44" si="3">D21</f>
        <v>0.62337944199999995</v>
      </c>
      <c r="AF40" s="9">
        <f t="shared" ref="AF40:AF44" si="4">+AC40</f>
        <v>1.1529896995283029</v>
      </c>
      <c r="AG40" s="9">
        <f t="shared" ref="AG40:AG44" si="5">+$N$30*$D21+$O$30*$E21+$P$30*$F21</f>
        <v>3.0511324236817183E-2</v>
      </c>
      <c r="AH40" s="9">
        <f t="shared" ref="AH40:AH44" si="6">+EXP(AG40)</f>
        <v>1.0309815650620724</v>
      </c>
      <c r="AI40">
        <f t="shared" ref="AI40:AI44" si="7">+AE40*AF40/AH40</f>
        <v>0.6971512390528799</v>
      </c>
      <c r="AK40" s="9">
        <f t="shared" ref="AK40:AK44" si="8">+AC40</f>
        <v>1.1529896995283029</v>
      </c>
      <c r="AM40" s="9">
        <f t="shared" ref="AM40:AM44" si="9">+N$32*D21+O$32*E21+P$32*F21</f>
        <v>-0.1525500415200014</v>
      </c>
      <c r="AN40">
        <f t="shared" ref="AN40:AN44" si="10">+EXP(AM40)</f>
        <v>0.85851593143929417</v>
      </c>
      <c r="AP40" s="9">
        <f t="shared" ref="AP40:AP44" si="11">+N$33*D21+O$33*E21+P$33*F21</f>
        <v>-2.0292293716862992E-2</v>
      </c>
      <c r="AQ40">
        <f t="shared" ref="AQ40:AQ44" si="12">+EXP(AP40)</f>
        <v>0.9799122092611301</v>
      </c>
      <c r="AS40" s="9">
        <f t="shared" ref="AS40:AS44" si="13">-(AI40+AK40+AN40+AQ40)</f>
        <v>-3.6885690792816073</v>
      </c>
      <c r="AT40" s="26">
        <f>+E56</f>
        <v>16.46265</v>
      </c>
      <c r="AU40" s="9">
        <f t="shared" ref="AU40:AU44" si="14">+AS40*AT40</f>
        <v>-60.723621753035353</v>
      </c>
    </row>
    <row r="41" spans="3:47" x14ac:dyDescent="0.25">
      <c r="N41" t="s">
        <v>127</v>
      </c>
      <c r="O41" t="s">
        <v>128</v>
      </c>
      <c r="P41" t="s">
        <v>129</v>
      </c>
      <c r="Q41" t="s">
        <v>130</v>
      </c>
      <c r="R41" t="s">
        <v>127</v>
      </c>
      <c r="S41" t="s">
        <v>128</v>
      </c>
      <c r="T41" t="s">
        <v>129</v>
      </c>
      <c r="U41" t="s">
        <v>130</v>
      </c>
      <c r="V41" t="s">
        <v>127</v>
      </c>
      <c r="W41" t="s">
        <v>128</v>
      </c>
      <c r="X41" t="s">
        <v>129</v>
      </c>
      <c r="Y41" t="s">
        <v>130</v>
      </c>
      <c r="AA41" s="7" t="s">
        <v>140</v>
      </c>
      <c r="AB41" s="5">
        <f t="shared" si="1"/>
        <v>7.3478798621844001E-3</v>
      </c>
      <c r="AC41" s="5">
        <f t="shared" si="2"/>
        <v>1.0073749417733702</v>
      </c>
      <c r="AD41" s="9"/>
      <c r="AE41" s="7">
        <f t="shared" si="3"/>
        <v>9.4957559999999993E-3</v>
      </c>
      <c r="AF41" s="9">
        <f t="shared" si="4"/>
        <v>1.0073749417733702</v>
      </c>
      <c r="AG41" s="9">
        <f t="shared" si="5"/>
        <v>-6.5403138099089403E-2</v>
      </c>
      <c r="AH41" s="9">
        <f t="shared" si="6"/>
        <v>0.93668977191752278</v>
      </c>
      <c r="AI41">
        <f t="shared" si="7"/>
        <v>1.0212331696557069E-2</v>
      </c>
      <c r="AK41" s="9">
        <f t="shared" si="8"/>
        <v>1.0073749417733702</v>
      </c>
      <c r="AM41" s="9">
        <f t="shared" si="9"/>
        <v>4.0579863458384796E-2</v>
      </c>
      <c r="AN41">
        <f t="shared" si="10"/>
        <v>1.0414144773432181</v>
      </c>
      <c r="AP41" s="9">
        <f t="shared" si="11"/>
        <v>1.7489367237886001E-2</v>
      </c>
      <c r="AQ41">
        <f t="shared" si="12"/>
        <v>1.0176432017351555</v>
      </c>
      <c r="AS41" s="9">
        <f t="shared" si="13"/>
        <v>-3.0766449525483006</v>
      </c>
      <c r="AT41" s="26">
        <f>+E57</f>
        <v>16.152989999999999</v>
      </c>
      <c r="AU41" s="9">
        <f t="shared" si="14"/>
        <v>-49.697015152063173</v>
      </c>
    </row>
    <row r="42" spans="3:47" x14ac:dyDescent="0.25">
      <c r="C42" t="s">
        <v>166</v>
      </c>
      <c r="N42" t="s">
        <v>131</v>
      </c>
      <c r="O42" t="s">
        <v>131</v>
      </c>
      <c r="P42" t="s">
        <v>131</v>
      </c>
      <c r="Q42" t="s">
        <v>131</v>
      </c>
      <c r="R42" t="s">
        <v>132</v>
      </c>
      <c r="S42" t="s">
        <v>132</v>
      </c>
      <c r="T42" t="s">
        <v>132</v>
      </c>
      <c r="U42" t="s">
        <v>132</v>
      </c>
      <c r="V42" t="s">
        <v>133</v>
      </c>
      <c r="W42" t="s">
        <v>133</v>
      </c>
      <c r="X42" t="s">
        <v>133</v>
      </c>
      <c r="Y42" t="s">
        <v>133</v>
      </c>
      <c r="AA42" s="7" t="s">
        <v>137</v>
      </c>
      <c r="AB42" s="5">
        <f t="shared" si="1"/>
        <v>0.1159042084483464</v>
      </c>
      <c r="AC42" s="5">
        <f t="shared" si="2"/>
        <v>1.1228883037683151</v>
      </c>
      <c r="AD42" s="9"/>
      <c r="AE42" s="7">
        <f t="shared" si="3"/>
        <v>0.51425114100000002</v>
      </c>
      <c r="AF42" s="9">
        <f t="shared" si="4"/>
        <v>1.1228883037683151</v>
      </c>
      <c r="AG42" s="9">
        <f t="shared" si="5"/>
        <v>2.4920821717327596E-2</v>
      </c>
      <c r="AH42" s="9">
        <f t="shared" si="6"/>
        <v>1.0252339410478559</v>
      </c>
      <c r="AI42">
        <f t="shared" si="7"/>
        <v>0.56323397842079104</v>
      </c>
      <c r="AK42" s="9">
        <f t="shared" si="8"/>
        <v>1.1228883037683151</v>
      </c>
      <c r="AM42" s="9">
        <f t="shared" si="9"/>
        <v>-0.12226160603693473</v>
      </c>
      <c r="AN42">
        <f t="shared" si="10"/>
        <v>0.88491683863197024</v>
      </c>
      <c r="AP42" s="9">
        <f t="shared" si="11"/>
        <v>-1.8541287252251515E-2</v>
      </c>
      <c r="AQ42">
        <f t="shared" si="12"/>
        <v>0.98162954496847821</v>
      </c>
      <c r="AS42" s="9">
        <f t="shared" si="13"/>
        <v>-3.5526686657895543</v>
      </c>
      <c r="AT42" s="26">
        <f>+E58</f>
        <v>17.720939999999999</v>
      </c>
      <c r="AU42" s="9">
        <f t="shared" si="14"/>
        <v>-62.956628266336743</v>
      </c>
    </row>
    <row r="43" spans="3:47" x14ac:dyDescent="0.25">
      <c r="D43" t="s">
        <v>20</v>
      </c>
      <c r="E43" t="s">
        <v>21</v>
      </c>
      <c r="F43" t="s">
        <v>22</v>
      </c>
      <c r="N43" t="s">
        <v>20</v>
      </c>
      <c r="O43" t="s">
        <v>21</v>
      </c>
      <c r="P43" t="s">
        <v>22</v>
      </c>
      <c r="Q43" t="s">
        <v>23</v>
      </c>
      <c r="R43" t="s">
        <v>24</v>
      </c>
      <c r="S43" t="s">
        <v>25</v>
      </c>
      <c r="T43" t="s">
        <v>147</v>
      </c>
      <c r="U43" t="s">
        <v>148</v>
      </c>
      <c r="V43" t="s">
        <v>149</v>
      </c>
      <c r="W43" t="s">
        <v>150</v>
      </c>
      <c r="X43" t="s">
        <v>151</v>
      </c>
      <c r="Y43" t="s">
        <v>152</v>
      </c>
      <c r="AA43" s="7" t="s">
        <v>138</v>
      </c>
      <c r="AB43" s="5">
        <f t="shared" si="1"/>
        <v>0.10448365722668879</v>
      </c>
      <c r="AC43" s="5">
        <f t="shared" si="2"/>
        <v>1.1101372509965275</v>
      </c>
      <c r="AD43" s="9"/>
      <c r="AE43" s="7">
        <f t="shared" si="3"/>
        <v>0.28273358399999998</v>
      </c>
      <c r="AF43" s="9">
        <f t="shared" si="4"/>
        <v>1.1101372509965275</v>
      </c>
      <c r="AG43" s="9">
        <f t="shared" si="5"/>
        <v>-2.0676864313745803E-2</v>
      </c>
      <c r="AH43" s="9">
        <f t="shared" si="6"/>
        <v>0.97953543629046846</v>
      </c>
      <c r="AI43">
        <f t="shared" si="7"/>
        <v>0.32043055521789288</v>
      </c>
      <c r="AK43" s="9">
        <f t="shared" si="8"/>
        <v>1.1101372509965275</v>
      </c>
      <c r="AM43" s="9">
        <f t="shared" si="9"/>
        <v>-0.12867797917600921</v>
      </c>
      <c r="AN43">
        <f t="shared" si="10"/>
        <v>0.87925705904478924</v>
      </c>
      <c r="AP43" s="9">
        <f t="shared" si="11"/>
        <v>4.4901034407100804E-2</v>
      </c>
      <c r="AQ43">
        <f t="shared" si="12"/>
        <v>1.0459243442637001</v>
      </c>
      <c r="AS43" s="9">
        <f t="shared" si="13"/>
        <v>-3.35574920952291</v>
      </c>
      <c r="AT43" s="26">
        <f>+E59</f>
        <v>13.74793</v>
      </c>
      <c r="AU43" s="9">
        <f t="shared" si="14"/>
        <v>-46.134605230076303</v>
      </c>
    </row>
    <row r="44" spans="3:47" x14ac:dyDescent="0.25">
      <c r="C44" t="s">
        <v>26</v>
      </c>
      <c r="D44" s="6">
        <v>1.736688</v>
      </c>
      <c r="E44" s="6">
        <v>7.7882690000000004E-2</v>
      </c>
      <c r="F44" s="6">
        <v>-0.39148727999999999</v>
      </c>
      <c r="K44" t="s">
        <v>127</v>
      </c>
      <c r="L44" t="s">
        <v>131</v>
      </c>
      <c r="M44" t="s">
        <v>26</v>
      </c>
      <c r="N44" s="7">
        <v>-15.208275</v>
      </c>
      <c r="O44" s="11">
        <v>5.8909789999999997</v>
      </c>
      <c r="P44" s="7">
        <v>4.4399819999999997</v>
      </c>
      <c r="Q44" s="7">
        <v>4.8773140000000001</v>
      </c>
      <c r="R44" s="7">
        <v>-15.707385</v>
      </c>
      <c r="S44" s="7">
        <v>5.9593509999999998</v>
      </c>
      <c r="T44" s="7">
        <v>4.5908119999999997</v>
      </c>
      <c r="U44" s="7">
        <v>5.157222</v>
      </c>
      <c r="V44" s="7">
        <v>-11.516361</v>
      </c>
      <c r="W44" s="7">
        <v>4.3813510000000004</v>
      </c>
      <c r="X44" s="7">
        <v>3.376404</v>
      </c>
      <c r="Y44" s="7">
        <v>3.7586059999999999</v>
      </c>
      <c r="AA44" s="7" t="s">
        <v>139</v>
      </c>
      <c r="AB44" s="5">
        <f t="shared" si="1"/>
        <v>0.13617272112582499</v>
      </c>
      <c r="AC44" s="5">
        <f t="shared" si="2"/>
        <v>1.1458797941516723</v>
      </c>
      <c r="AD44" s="9"/>
      <c r="AE44" s="7">
        <f t="shared" si="3"/>
        <v>0.83729562800000001</v>
      </c>
      <c r="AF44" s="9">
        <f t="shared" si="4"/>
        <v>1.1458797941516723</v>
      </c>
      <c r="AG44" s="9">
        <f t="shared" si="5"/>
        <v>0.14383167540303099</v>
      </c>
      <c r="AH44" s="9">
        <f t="shared" si="6"/>
        <v>1.1546897294826461</v>
      </c>
      <c r="AI44">
        <f t="shared" si="7"/>
        <v>0.83090731419825503</v>
      </c>
      <c r="AK44" s="9">
        <f t="shared" si="8"/>
        <v>1.1458797941516723</v>
      </c>
      <c r="AM44" s="9">
        <f t="shared" si="9"/>
        <v>-0.16844592359357519</v>
      </c>
      <c r="AN44">
        <f t="shared" si="10"/>
        <v>0.84497695550075869</v>
      </c>
      <c r="AP44" s="9">
        <f t="shared" si="11"/>
        <v>-0.11155605659145079</v>
      </c>
      <c r="AQ44">
        <f t="shared" si="12"/>
        <v>0.89444125067015612</v>
      </c>
      <c r="AS44" s="9">
        <f t="shared" si="13"/>
        <v>-3.7162053145208422</v>
      </c>
      <c r="AT44" s="26">
        <f>+E60</f>
        <v>13.666499999999999</v>
      </c>
      <c r="AU44" s="9">
        <f t="shared" si="14"/>
        <v>-50.787519930899087</v>
      </c>
    </row>
    <row r="45" spans="3:47" x14ac:dyDescent="0.25">
      <c r="C45" t="s">
        <v>27</v>
      </c>
      <c r="D45" s="6">
        <v>4.048762</v>
      </c>
      <c r="E45" s="6">
        <v>5.2153943700000003</v>
      </c>
      <c r="F45" s="6">
        <v>3.6811690399999999</v>
      </c>
      <c r="K45" t="s">
        <v>128</v>
      </c>
      <c r="L45" t="s">
        <v>131</v>
      </c>
      <c r="M45" t="s">
        <v>27</v>
      </c>
      <c r="N45" s="7">
        <v>5.8909789999999997</v>
      </c>
      <c r="O45" s="7">
        <v>-15.748643</v>
      </c>
      <c r="P45" s="7">
        <v>4.6926160000000001</v>
      </c>
      <c r="Q45" s="7">
        <v>5.1650479999999996</v>
      </c>
      <c r="R45" s="7">
        <v>5.9593509999999998</v>
      </c>
      <c r="S45" s="7">
        <v>-16.644162999999999</v>
      </c>
      <c r="T45" s="7">
        <v>5.02881</v>
      </c>
      <c r="U45" s="7">
        <v>5.656002</v>
      </c>
      <c r="V45" s="7">
        <v>4.3813510000000004</v>
      </c>
      <c r="W45" s="7">
        <v>-12.152353</v>
      </c>
      <c r="X45" s="7">
        <v>3.6750590000000001</v>
      </c>
      <c r="Y45" s="7">
        <v>4.0959430000000001</v>
      </c>
    </row>
    <row r="46" spans="3:47" x14ac:dyDescent="0.25">
      <c r="C46" t="s">
        <v>28</v>
      </c>
      <c r="D46" s="6">
        <v>-4.5561350000000003</v>
      </c>
      <c r="E46" s="6">
        <v>-5.4075646300000004</v>
      </c>
      <c r="F46" s="6">
        <v>-3.2996582499999998</v>
      </c>
      <c r="K46" t="s">
        <v>129</v>
      </c>
      <c r="L46" t="s">
        <v>131</v>
      </c>
      <c r="M46" t="s">
        <v>28</v>
      </c>
      <c r="N46" s="7">
        <v>4.4399819999999997</v>
      </c>
      <c r="O46" s="7">
        <v>4.6926160000000001</v>
      </c>
      <c r="P46" s="7">
        <v>-13.036068999999999</v>
      </c>
      <c r="Q46" s="7">
        <v>3.9034710000000001</v>
      </c>
      <c r="R46" s="7">
        <v>4.5908119999999997</v>
      </c>
      <c r="S46" s="7">
        <v>5.02881</v>
      </c>
      <c r="T46" s="7">
        <v>-13.99114</v>
      </c>
      <c r="U46" s="7">
        <v>4.371518</v>
      </c>
      <c r="V46" s="7">
        <v>3.376404</v>
      </c>
      <c r="W46" s="7">
        <v>3.6750590000000001</v>
      </c>
      <c r="X46" s="7">
        <v>-10.220829999999999</v>
      </c>
      <c r="Y46" s="7">
        <v>3.1693660000000001</v>
      </c>
    </row>
    <row r="47" spans="3:47" x14ac:dyDescent="0.25">
      <c r="C47" t="s">
        <v>29</v>
      </c>
      <c r="D47" s="6">
        <v>-1.2293160000000001</v>
      </c>
      <c r="E47" s="6">
        <v>0.11428756</v>
      </c>
      <c r="F47" s="6">
        <v>9.9764899999999993E-3</v>
      </c>
      <c r="K47" t="s">
        <v>130</v>
      </c>
      <c r="L47" t="s">
        <v>131</v>
      </c>
      <c r="M47" t="s">
        <v>29</v>
      </c>
      <c r="N47" s="7">
        <v>4.8773140000000001</v>
      </c>
      <c r="O47" s="7">
        <v>5.1650479999999996</v>
      </c>
      <c r="P47" s="7">
        <v>3.9034710000000001</v>
      </c>
      <c r="Q47" s="7">
        <v>-13.945831999999999</v>
      </c>
      <c r="R47" s="7">
        <v>5.157222</v>
      </c>
      <c r="S47" s="7">
        <v>5.656002</v>
      </c>
      <c r="T47" s="7">
        <v>4.371518</v>
      </c>
      <c r="U47" s="7">
        <v>-15.184742999999999</v>
      </c>
      <c r="V47" s="7">
        <v>3.7586059999999999</v>
      </c>
      <c r="W47" s="7">
        <v>4.0959430000000001</v>
      </c>
      <c r="X47" s="7">
        <v>3.1693660000000001</v>
      </c>
      <c r="Y47" s="7">
        <v>-11.023916</v>
      </c>
    </row>
    <row r="48" spans="3:47" x14ac:dyDescent="0.25">
      <c r="K48" t="s">
        <v>127</v>
      </c>
      <c r="L48" t="s">
        <v>132</v>
      </c>
      <c r="M48" t="s">
        <v>30</v>
      </c>
      <c r="N48" s="7">
        <v>-15.707385</v>
      </c>
      <c r="O48" s="7">
        <v>5.9593509999999998</v>
      </c>
      <c r="P48" s="7">
        <v>4.5908119999999997</v>
      </c>
      <c r="Q48" s="7">
        <v>5.157222</v>
      </c>
      <c r="R48" s="7">
        <v>-27.306312999999999</v>
      </c>
      <c r="S48" s="7">
        <v>10.114815</v>
      </c>
      <c r="T48" s="7">
        <v>8.0708909999999996</v>
      </c>
      <c r="U48" s="7">
        <v>9.1206069999999997</v>
      </c>
      <c r="V48" s="7">
        <v>-19.658933999999999</v>
      </c>
      <c r="W48" s="7">
        <v>7.2216709999999997</v>
      </c>
      <c r="X48" s="7">
        <v>5.9087430000000003</v>
      </c>
      <c r="Y48" s="7">
        <v>6.5285200000000003</v>
      </c>
    </row>
    <row r="49" spans="3:25" x14ac:dyDescent="0.25">
      <c r="D49" s="21"/>
      <c r="E49" s="21"/>
      <c r="F49" s="21"/>
      <c r="K49" t="s">
        <v>128</v>
      </c>
      <c r="L49" t="s">
        <v>132</v>
      </c>
      <c r="M49" t="s">
        <v>31</v>
      </c>
      <c r="N49" s="7">
        <v>5.9593509999999998</v>
      </c>
      <c r="O49" s="7">
        <v>-16.644162999999999</v>
      </c>
      <c r="P49" s="7">
        <v>5.02881</v>
      </c>
      <c r="Q49" s="7">
        <v>5.656002</v>
      </c>
      <c r="R49" s="7">
        <v>10.114815</v>
      </c>
      <c r="S49" s="7">
        <v>-29.263995999999999</v>
      </c>
      <c r="T49" s="7">
        <v>8.987133</v>
      </c>
      <c r="U49" s="7">
        <v>10.162048</v>
      </c>
      <c r="V49" s="7">
        <v>7.2216709999999997</v>
      </c>
      <c r="W49" s="7">
        <v>-20.991596000000001</v>
      </c>
      <c r="X49" s="7">
        <v>6.5394030000000001</v>
      </c>
      <c r="Y49" s="7">
        <v>7.2305219999999997</v>
      </c>
    </row>
    <row r="50" spans="3:25" x14ac:dyDescent="0.25">
      <c r="D50" s="21"/>
      <c r="E50" s="21"/>
      <c r="F50" s="21"/>
      <c r="K50" t="s">
        <v>129</v>
      </c>
      <c r="L50" t="s">
        <v>132</v>
      </c>
      <c r="M50" t="s">
        <v>153</v>
      </c>
      <c r="N50" s="7">
        <v>4.5908119999999997</v>
      </c>
      <c r="O50" s="7">
        <v>5.02881</v>
      </c>
      <c r="P50" s="7">
        <v>-13.99114</v>
      </c>
      <c r="Q50" s="7">
        <v>4.371518</v>
      </c>
      <c r="R50" s="7">
        <v>8.0708909999999996</v>
      </c>
      <c r="S50" s="7">
        <v>8.987133</v>
      </c>
      <c r="T50" s="7">
        <v>-25.202372</v>
      </c>
      <c r="U50" s="7">
        <v>8.1443480000000008</v>
      </c>
      <c r="V50" s="7">
        <v>5.9087430000000003</v>
      </c>
      <c r="W50" s="7">
        <v>6.5394030000000001</v>
      </c>
      <c r="X50" s="7">
        <v>-18.405259000000001</v>
      </c>
      <c r="Y50" s="7">
        <v>5.9571129999999997</v>
      </c>
    </row>
    <row r="51" spans="3:25" x14ac:dyDescent="0.25">
      <c r="D51" s="21"/>
      <c r="E51" s="21"/>
      <c r="F51" s="21"/>
      <c r="K51" t="s">
        <v>130</v>
      </c>
      <c r="L51" t="s">
        <v>132</v>
      </c>
      <c r="M51" t="s">
        <v>154</v>
      </c>
      <c r="N51" s="7">
        <v>5.157222</v>
      </c>
      <c r="O51" s="7">
        <v>5.656002</v>
      </c>
      <c r="P51" s="7">
        <v>4.371518</v>
      </c>
      <c r="Q51" s="7">
        <v>-15.184742999999999</v>
      </c>
      <c r="R51" s="7">
        <v>9.1206069999999997</v>
      </c>
      <c r="S51" s="7">
        <v>10.162048</v>
      </c>
      <c r="T51" s="7">
        <v>8.1443480000000008</v>
      </c>
      <c r="U51" s="7">
        <v>-27.427002999999999</v>
      </c>
      <c r="V51" s="7">
        <v>6.5285200000000003</v>
      </c>
      <c r="W51" s="7">
        <v>7.2305219999999997</v>
      </c>
      <c r="X51" s="7">
        <v>5.9571129999999997</v>
      </c>
      <c r="Y51" s="7">
        <v>-19.716155000000001</v>
      </c>
    </row>
    <row r="52" spans="3:25" x14ac:dyDescent="0.25">
      <c r="D52" s="21"/>
      <c r="E52" s="21"/>
      <c r="F52" s="21"/>
      <c r="K52" t="s">
        <v>127</v>
      </c>
      <c r="L52" t="s">
        <v>133</v>
      </c>
      <c r="M52" t="s">
        <v>155</v>
      </c>
      <c r="N52" s="7">
        <v>-11.516361</v>
      </c>
      <c r="O52" s="7">
        <v>4.3813510000000004</v>
      </c>
      <c r="P52" s="7">
        <v>3.376404</v>
      </c>
      <c r="Q52" s="7">
        <v>3.7586059999999999</v>
      </c>
      <c r="R52" s="7">
        <v>-19.658933999999999</v>
      </c>
      <c r="S52" s="7">
        <v>7.2216709999999997</v>
      </c>
      <c r="T52" s="7">
        <v>5.9087430000000003</v>
      </c>
      <c r="U52" s="7">
        <v>6.5285200000000003</v>
      </c>
      <c r="V52" s="7">
        <v>-18.631243999999999</v>
      </c>
      <c r="W52" s="7">
        <v>6.6823180000000004</v>
      </c>
      <c r="X52" s="7">
        <v>5.7724700000000002</v>
      </c>
      <c r="Y52" s="7">
        <v>6.1764559999999999</v>
      </c>
    </row>
    <row r="53" spans="3:25" x14ac:dyDescent="0.25">
      <c r="C53" t="s">
        <v>162</v>
      </c>
      <c r="K53" t="s">
        <v>128</v>
      </c>
      <c r="L53" t="s">
        <v>133</v>
      </c>
      <c r="M53" t="s">
        <v>156</v>
      </c>
      <c r="N53" s="7">
        <v>4.3813510000000004</v>
      </c>
      <c r="O53" s="7">
        <v>-12.152353</v>
      </c>
      <c r="P53" s="7">
        <v>3.6750590000000001</v>
      </c>
      <c r="Q53" s="7">
        <v>4.0959430000000001</v>
      </c>
      <c r="R53" s="7">
        <v>7.2216709999999997</v>
      </c>
      <c r="S53" s="7">
        <v>-20.991596000000001</v>
      </c>
      <c r="T53" s="7">
        <v>6.5394030000000001</v>
      </c>
      <c r="U53" s="7">
        <v>7.2305219999999997</v>
      </c>
      <c r="V53" s="7">
        <v>6.6823180000000004</v>
      </c>
      <c r="W53" s="7">
        <v>-19.812072000000001</v>
      </c>
      <c r="X53" s="7">
        <v>6.3397100000000002</v>
      </c>
      <c r="Y53" s="7">
        <v>6.790044</v>
      </c>
    </row>
    <row r="54" spans="3:25" x14ac:dyDescent="0.25">
      <c r="D54" t="s">
        <v>20</v>
      </c>
      <c r="E54" t="s">
        <v>21</v>
      </c>
      <c r="F54" t="s">
        <v>22</v>
      </c>
      <c r="G54" t="s">
        <v>23</v>
      </c>
      <c r="K54" t="s">
        <v>129</v>
      </c>
      <c r="L54" t="s">
        <v>133</v>
      </c>
      <c r="M54" t="s">
        <v>157</v>
      </c>
      <c r="N54" s="7">
        <v>3.376404</v>
      </c>
      <c r="O54" s="7">
        <v>3.6750590000000001</v>
      </c>
      <c r="P54" s="7">
        <v>-10.220829999999999</v>
      </c>
      <c r="Q54" s="7">
        <v>3.1693660000000001</v>
      </c>
      <c r="R54" s="7">
        <v>5.9087430000000003</v>
      </c>
      <c r="S54" s="7">
        <v>6.5394030000000001</v>
      </c>
      <c r="T54" s="7">
        <v>-18.405259000000001</v>
      </c>
      <c r="U54" s="7">
        <v>5.9571129999999997</v>
      </c>
      <c r="V54" s="7">
        <v>5.7724700000000002</v>
      </c>
      <c r="W54" s="7">
        <v>6.3397100000000002</v>
      </c>
      <c r="X54" s="7">
        <v>-18.032014</v>
      </c>
      <c r="Y54" s="7">
        <v>5.9198339999999998</v>
      </c>
    </row>
    <row r="55" spans="3:25" x14ac:dyDescent="0.25">
      <c r="C55" t="s">
        <v>26</v>
      </c>
      <c r="D55" s="6">
        <v>13.991009999999999</v>
      </c>
      <c r="E55" s="6">
        <v>15.706009999999999</v>
      </c>
      <c r="F55" s="6">
        <v>14.47411</v>
      </c>
      <c r="G55" s="6">
        <v>15.51545</v>
      </c>
      <c r="K55" t="s">
        <v>130</v>
      </c>
      <c r="L55" t="s">
        <v>133</v>
      </c>
      <c r="M55" t="s">
        <v>158</v>
      </c>
      <c r="N55" s="7">
        <v>3.7586059999999999</v>
      </c>
      <c r="O55" s="7">
        <v>4.0959430000000001</v>
      </c>
      <c r="P55" s="7">
        <v>3.1693660000000001</v>
      </c>
      <c r="Q55" s="7">
        <v>-11.023916</v>
      </c>
      <c r="R55" s="7">
        <v>6.5285200000000003</v>
      </c>
      <c r="S55" s="7">
        <v>7.2305219999999997</v>
      </c>
      <c r="T55" s="7">
        <v>5.9571129999999997</v>
      </c>
      <c r="U55" s="7">
        <v>-19.716155000000001</v>
      </c>
      <c r="V55" s="7">
        <v>6.1764559999999999</v>
      </c>
      <c r="W55" s="7">
        <v>6.790044</v>
      </c>
      <c r="X55" s="7">
        <v>5.9198339999999998</v>
      </c>
      <c r="Y55" s="7">
        <v>-18.886334999999999</v>
      </c>
    </row>
    <row r="56" spans="3:25" x14ac:dyDescent="0.25">
      <c r="C56" t="s">
        <v>27</v>
      </c>
      <c r="D56" s="6">
        <v>14.72059</v>
      </c>
      <c r="E56" s="6">
        <v>16.46265</v>
      </c>
      <c r="F56" s="6">
        <v>12.25808</v>
      </c>
      <c r="G56" s="6">
        <v>13.99141</v>
      </c>
    </row>
    <row r="57" spans="3:25" x14ac:dyDescent="0.25">
      <c r="C57" t="s">
        <v>28</v>
      </c>
      <c r="D57" s="6">
        <v>15.01957</v>
      </c>
      <c r="E57" s="6">
        <v>16.152989999999999</v>
      </c>
      <c r="F57" s="6">
        <v>16.698810000000002</v>
      </c>
      <c r="G57" s="6">
        <v>16.317640000000001</v>
      </c>
    </row>
    <row r="58" spans="3:25" x14ac:dyDescent="0.25">
      <c r="C58" t="s">
        <v>29</v>
      </c>
      <c r="D58" s="6">
        <v>16.1798</v>
      </c>
      <c r="E58" s="6">
        <v>17.720939999999999</v>
      </c>
      <c r="F58" s="6">
        <v>13.96538</v>
      </c>
      <c r="G58" s="6">
        <v>15.49166</v>
      </c>
    </row>
    <row r="59" spans="3:25" x14ac:dyDescent="0.25">
      <c r="C59" t="s">
        <v>30</v>
      </c>
      <c r="D59" s="6">
        <v>12.130559999999999</v>
      </c>
      <c r="E59" s="6">
        <v>13.74793</v>
      </c>
      <c r="F59" s="6">
        <v>10.88871</v>
      </c>
      <c r="G59" s="6">
        <v>12.952719999999999</v>
      </c>
    </row>
    <row r="60" spans="3:25" x14ac:dyDescent="0.25">
      <c r="C60" t="s">
        <v>31</v>
      </c>
      <c r="D60" s="6">
        <v>13.771570000000001</v>
      </c>
      <c r="E60" s="6">
        <v>13.666499999999999</v>
      </c>
      <c r="F60" s="6">
        <v>10.07774</v>
      </c>
      <c r="G60" s="6">
        <v>10.667680000000001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C954-2B53-4431-A213-4DA723B79271}">
  <dimension ref="A1"/>
  <sheetViews>
    <sheetView tabSelected="1" topLeftCell="A37" workbookViewId="0">
      <selection activeCell="C62" sqref="C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A1CB-8581-4876-A054-C36546A57E62}">
  <dimension ref="A1:V27"/>
  <sheetViews>
    <sheetView workbookViewId="0">
      <selection activeCell="T3" sqref="T3"/>
    </sheetView>
  </sheetViews>
  <sheetFormatPr defaultRowHeight="15" x14ac:dyDescent="0.25"/>
  <cols>
    <col min="3" max="3" width="9.28515625" bestFit="1" customWidth="1"/>
    <col min="4" max="4" width="11.5703125" bestFit="1" customWidth="1"/>
    <col min="6" max="6" width="11.28515625" customWidth="1"/>
    <col min="7" max="8" width="11.42578125" customWidth="1"/>
    <col min="9" max="9" width="12.140625" customWidth="1"/>
    <col min="10" max="10" width="10.7109375" customWidth="1"/>
    <col min="11" max="11" width="6.5703125" customWidth="1"/>
    <col min="12" max="12" width="17" customWidth="1"/>
  </cols>
  <sheetData>
    <row r="1" spans="1:22" x14ac:dyDescent="0.25">
      <c r="B1" t="s">
        <v>207</v>
      </c>
    </row>
    <row r="2" spans="1:22" x14ac:dyDescent="0.25">
      <c r="C2">
        <v>0.2</v>
      </c>
      <c r="D2">
        <v>0.30000000000000004</v>
      </c>
    </row>
    <row r="3" spans="1:22" x14ac:dyDescent="0.25">
      <c r="C3" t="s">
        <v>204</v>
      </c>
      <c r="D3" t="s">
        <v>205</v>
      </c>
      <c r="G3" t="s">
        <v>196</v>
      </c>
      <c r="I3" t="s">
        <v>201</v>
      </c>
      <c r="L3" t="s">
        <v>210</v>
      </c>
      <c r="T3">
        <v>0.1</v>
      </c>
    </row>
    <row r="4" spans="1:22" x14ac:dyDescent="0.25">
      <c r="B4" t="s">
        <v>208</v>
      </c>
      <c r="C4" s="39">
        <v>0.2</v>
      </c>
      <c r="D4" s="39">
        <v>0.30000000000000004</v>
      </c>
      <c r="F4" t="s">
        <v>170</v>
      </c>
      <c r="G4" t="s">
        <v>131</v>
      </c>
      <c r="H4" t="s">
        <v>168</v>
      </c>
      <c r="I4" t="s">
        <v>202</v>
      </c>
      <c r="J4" t="s">
        <v>201</v>
      </c>
      <c r="L4" t="s">
        <v>202</v>
      </c>
      <c r="M4" t="s">
        <v>210</v>
      </c>
      <c r="Q4" t="s">
        <v>212</v>
      </c>
      <c r="R4" t="s">
        <v>86</v>
      </c>
      <c r="U4" t="s">
        <v>212</v>
      </c>
      <c r="V4" t="s">
        <v>86</v>
      </c>
    </row>
    <row r="5" spans="1:22" x14ac:dyDescent="0.25">
      <c r="B5" t="s">
        <v>85</v>
      </c>
      <c r="C5">
        <v>1</v>
      </c>
      <c r="D5">
        <v>0</v>
      </c>
      <c r="F5">
        <v>1</v>
      </c>
      <c r="G5" s="9">
        <f>+V5</f>
        <v>1</v>
      </c>
      <c r="H5" s="40">
        <f>+U5</f>
        <v>1.2000000000000002</v>
      </c>
      <c r="I5" s="43">
        <f>+EXP($C$4*$G5)+EXP($D$4*$G5)</f>
        <v>2.5712615657361733</v>
      </c>
      <c r="J5" s="5">
        <f>+LN($H5/I5)</f>
        <v>-0.76207510327961625</v>
      </c>
      <c r="L5" s="43">
        <f>+EXP($C$6*$G5)+EXP($D$6*$G5)</f>
        <v>4.6699757303125509</v>
      </c>
      <c r="M5" s="5">
        <f>+LN($H5/L5)</f>
        <v>-1.3588323179381332</v>
      </c>
      <c r="Q5">
        <v>12</v>
      </c>
      <c r="R5">
        <v>10</v>
      </c>
      <c r="U5" s="5">
        <f>+Q5*$T$3</f>
        <v>1.2000000000000002</v>
      </c>
      <c r="V5" s="5">
        <f>+R5*$T$3</f>
        <v>1</v>
      </c>
    </row>
    <row r="6" spans="1:22" x14ac:dyDescent="0.25">
      <c r="B6" t="s">
        <v>209</v>
      </c>
      <c r="C6" s="9">
        <f>+C4+C5</f>
        <v>1.2</v>
      </c>
      <c r="D6" s="9">
        <f>+D4+D5</f>
        <v>0.30000000000000004</v>
      </c>
      <c r="F6">
        <v>2</v>
      </c>
      <c r="G6" s="9">
        <f t="shared" ref="G6:G8" si="0">+V6</f>
        <v>2</v>
      </c>
      <c r="H6" s="40">
        <f t="shared" ref="H6:H8" si="1">+U6</f>
        <v>1.1000000000000001</v>
      </c>
      <c r="I6" s="43">
        <f>+EXP($C$4*$G6)+EXP($D$4*$G6)</f>
        <v>3.3139434980317795</v>
      </c>
      <c r="J6" s="5">
        <f t="shared" ref="J6:J8" si="2">+LN($H6/I6)</f>
        <v>-1.1028286895772668</v>
      </c>
      <c r="L6" s="43">
        <f>+EXP($C$6*$G6)+EXP($D$6*$G6)</f>
        <v>12.84529518103211</v>
      </c>
      <c r="M6" s="5">
        <f t="shared" ref="M6:M8" si="3">+LN($H6/L6)</f>
        <v>-2.4576674307217492</v>
      </c>
      <c r="Q6">
        <v>11</v>
      </c>
      <c r="R6">
        <v>20</v>
      </c>
      <c r="U6" s="5">
        <f t="shared" ref="U6:U8" si="4">+Q6*$T$3</f>
        <v>1.1000000000000001</v>
      </c>
      <c r="V6" s="5">
        <f t="shared" ref="V6:V8" si="5">+R6*$T$3</f>
        <v>2</v>
      </c>
    </row>
    <row r="7" spans="1:22" x14ac:dyDescent="0.25">
      <c r="F7">
        <v>3</v>
      </c>
      <c r="G7" s="9">
        <f t="shared" si="0"/>
        <v>3</v>
      </c>
      <c r="H7" s="40">
        <f t="shared" si="1"/>
        <v>1.1000000000000001</v>
      </c>
      <c r="I7" s="43">
        <f>+EXP($C$4*$G7)+EXP($D$4*$G7)</f>
        <v>4.281721911547459</v>
      </c>
      <c r="J7" s="5">
        <f t="shared" si="2"/>
        <v>-1.3590450646642023</v>
      </c>
      <c r="L7" s="43">
        <f>+EXP($C$6*$G7)+EXP($D$6*$G7)</f>
        <v>39.057837554834926</v>
      </c>
      <c r="M7" s="5">
        <f t="shared" si="3"/>
        <v>-3.5697333819722652</v>
      </c>
      <c r="Q7">
        <v>11</v>
      </c>
      <c r="R7">
        <v>30</v>
      </c>
      <c r="U7" s="5">
        <f t="shared" si="4"/>
        <v>1.1000000000000001</v>
      </c>
      <c r="V7" s="5">
        <f t="shared" si="5"/>
        <v>3</v>
      </c>
    </row>
    <row r="8" spans="1:22" x14ac:dyDescent="0.25">
      <c r="F8">
        <v>4</v>
      </c>
      <c r="G8" s="9">
        <f t="shared" si="0"/>
        <v>4</v>
      </c>
      <c r="H8" s="40">
        <f t="shared" si="1"/>
        <v>1.1000000000000001</v>
      </c>
      <c r="I8" s="43">
        <f>+EXP($C$4*$G8)+EXP($D$4*$G8)</f>
        <v>5.5456578512290164</v>
      </c>
      <c r="J8" s="5">
        <f t="shared" si="2"/>
        <v>-1.6177050725956279</v>
      </c>
      <c r="L8" s="43">
        <f>+EXP($C$6*$G8)+EXP($D$6*$G8)</f>
        <v>124.8305344414714</v>
      </c>
      <c r="M8" s="5">
        <f t="shared" si="3"/>
        <v>-4.7316469132038828</v>
      </c>
      <c r="Q8">
        <v>11</v>
      </c>
      <c r="R8">
        <v>40</v>
      </c>
      <c r="U8" s="5">
        <f t="shared" si="4"/>
        <v>1.1000000000000001</v>
      </c>
      <c r="V8" s="5">
        <f t="shared" si="5"/>
        <v>4</v>
      </c>
    </row>
    <row r="10" spans="1:22" x14ac:dyDescent="0.25">
      <c r="B10" t="s">
        <v>203</v>
      </c>
      <c r="C10" t="s">
        <v>203</v>
      </c>
      <c r="F10" t="s">
        <v>203</v>
      </c>
      <c r="G10" t="s">
        <v>203</v>
      </c>
    </row>
    <row r="11" spans="1:22" x14ac:dyDescent="0.25">
      <c r="A11" t="s">
        <v>170</v>
      </c>
      <c r="B11" t="s">
        <v>197</v>
      </c>
      <c r="C11" t="s">
        <v>198</v>
      </c>
      <c r="D11" t="s">
        <v>206</v>
      </c>
      <c r="F11" t="s">
        <v>200</v>
      </c>
      <c r="G11" t="s">
        <v>199</v>
      </c>
    </row>
    <row r="12" spans="1:22" x14ac:dyDescent="0.25">
      <c r="A12">
        <v>1</v>
      </c>
      <c r="B12" s="5">
        <f>+EXP(C$4*$G5+$J5)</f>
        <v>0.57002497502527205</v>
      </c>
      <c r="C12" s="5">
        <f>+EXP(D$4*$G5+$J5)</f>
        <v>0.62997502497472802</v>
      </c>
      <c r="D12" s="5">
        <f>+B12+C12</f>
        <v>1.2000000000000002</v>
      </c>
      <c r="F12" s="5">
        <f>+$G5*B12</f>
        <v>0.57002497502527205</v>
      </c>
      <c r="G12" s="5">
        <f>+$G5*C12</f>
        <v>0.62997502497472802</v>
      </c>
      <c r="H12" s="5"/>
    </row>
    <row r="13" spans="1:22" x14ac:dyDescent="0.25">
      <c r="A13">
        <v>2</v>
      </c>
      <c r="B13" s="5">
        <f>+EXP(C$4*$G6+$J6)</f>
        <v>0.49518260295627442</v>
      </c>
      <c r="C13" s="5">
        <f>+EXP(D$4*$G6+$J6)</f>
        <v>0.60481739704372584</v>
      </c>
      <c r="D13" s="5">
        <f t="shared" ref="D13:D15" si="6">+B13+C13</f>
        <v>1.1000000000000003</v>
      </c>
      <c r="F13" s="5">
        <f t="shared" ref="F13:F15" si="7">+$G6*B13</f>
        <v>0.99036520591254884</v>
      </c>
      <c r="G13" s="5">
        <f t="shared" ref="G13:G15" si="8">+$G6*C13</f>
        <v>1.2096347940874517</v>
      </c>
      <c r="H13" s="5"/>
    </row>
    <row r="14" spans="1:22" x14ac:dyDescent="0.25">
      <c r="A14">
        <v>3</v>
      </c>
      <c r="B14" s="5">
        <f>+EXP(C$4*$G7+$J7)</f>
        <v>0.46811323150717515</v>
      </c>
      <c r="C14" s="5">
        <f>+EXP(D$4*$G7+$J7)</f>
        <v>0.63188676849282499</v>
      </c>
      <c r="D14" s="5">
        <f t="shared" si="6"/>
        <v>1.1000000000000001</v>
      </c>
      <c r="F14" s="5">
        <f t="shared" si="7"/>
        <v>1.4043396945215254</v>
      </c>
      <c r="G14" s="5">
        <f t="shared" si="8"/>
        <v>1.8956603054784749</v>
      </c>
      <c r="H14" s="5"/>
    </row>
    <row r="15" spans="1:22" x14ac:dyDescent="0.25">
      <c r="A15">
        <v>4</v>
      </c>
      <c r="B15" s="5">
        <f>+EXP(C$4*$G8+$J8)</f>
        <v>0.44144357387630273</v>
      </c>
      <c r="C15" s="5">
        <f>+EXP(D$4*$G8+$J8)</f>
        <v>0.65855642612369725</v>
      </c>
      <c r="D15" s="5">
        <f t="shared" si="6"/>
        <v>1.1000000000000001</v>
      </c>
      <c r="F15" s="41">
        <f t="shared" si="7"/>
        <v>1.7657742955052109</v>
      </c>
      <c r="G15" s="41">
        <f t="shared" si="8"/>
        <v>2.634225704494789</v>
      </c>
      <c r="H15" s="42"/>
    </row>
    <row r="16" spans="1:22" x14ac:dyDescent="0.25">
      <c r="F16" s="5">
        <f>+SUM(F12:F15)</f>
        <v>4.730504170964557</v>
      </c>
      <c r="G16" s="5">
        <f>+SUM(G12:G15)</f>
        <v>6.3694958290354435</v>
      </c>
      <c r="H16" s="5"/>
    </row>
    <row r="18" spans="1:7" x14ac:dyDescent="0.25">
      <c r="B18" t="s">
        <v>211</v>
      </c>
      <c r="C18" t="s">
        <v>211</v>
      </c>
    </row>
    <row r="19" spans="1:7" x14ac:dyDescent="0.25">
      <c r="B19" t="s">
        <v>197</v>
      </c>
      <c r="C19" t="s">
        <v>198</v>
      </c>
      <c r="D19" t="s">
        <v>206</v>
      </c>
      <c r="F19" t="s">
        <v>200</v>
      </c>
      <c r="G19" t="s">
        <v>199</v>
      </c>
    </row>
    <row r="20" spans="1:7" x14ac:dyDescent="0.25">
      <c r="A20" t="s">
        <v>170</v>
      </c>
    </row>
    <row r="21" spans="1:7" x14ac:dyDescent="0.25">
      <c r="A21">
        <v>1</v>
      </c>
      <c r="B21" s="5">
        <f>+EXP(C$6*$G5+$M5)</f>
        <v>0.85313940315000469</v>
      </c>
      <c r="C21" s="5">
        <f>+EXP(D$6*$G5+$M5)</f>
        <v>0.34686059684999526</v>
      </c>
      <c r="D21" s="5">
        <f t="shared" ref="D21:D24" si="9">+B21+C21</f>
        <v>1.2</v>
      </c>
      <c r="F21" s="5">
        <f>+$G5*B21</f>
        <v>0.85313940315000469</v>
      </c>
      <c r="G21" s="5">
        <f>+$G5*C21</f>
        <v>0.34686059684999526</v>
      </c>
    </row>
    <row r="22" spans="1:7" x14ac:dyDescent="0.25">
      <c r="A22">
        <v>2</v>
      </c>
      <c r="B22" s="5">
        <f t="shared" ref="B22:C22" si="10">+EXP(C$6*$G6+$M6)</f>
        <v>0.94396382860946337</v>
      </c>
      <c r="C22" s="5">
        <f t="shared" si="10"/>
        <v>0.1560361713905366</v>
      </c>
      <c r="D22" s="5">
        <f t="shared" si="9"/>
        <v>1.1000000000000001</v>
      </c>
      <c r="F22" s="5">
        <f t="shared" ref="F22:G22" si="11">+$G6*B22</f>
        <v>1.8879276572189267</v>
      </c>
      <c r="G22" s="5">
        <f t="shared" si="11"/>
        <v>0.31207234278107321</v>
      </c>
    </row>
    <row r="23" spans="1:7" x14ac:dyDescent="0.25">
      <c r="A23">
        <v>3</v>
      </c>
      <c r="B23" s="5">
        <f t="shared" ref="B23:C23" si="12">+EXP(C$6*$G7+$M7)</f>
        <v>1.0307293083373039</v>
      </c>
      <c r="C23" s="5">
        <f t="shared" si="12"/>
        <v>6.9270691662696171E-2</v>
      </c>
      <c r="D23" s="5">
        <f t="shared" si="9"/>
        <v>1.1000000000000001</v>
      </c>
      <c r="F23" s="5">
        <f t="shared" ref="F23:G23" si="13">+$G7*B23</f>
        <v>3.0921879250119115</v>
      </c>
      <c r="G23" s="5">
        <f t="shared" si="13"/>
        <v>0.20781207498808851</v>
      </c>
    </row>
    <row r="24" spans="1:7" x14ac:dyDescent="0.25">
      <c r="A24">
        <v>4</v>
      </c>
      <c r="B24" s="5">
        <f t="shared" ref="B24:C24" si="14">+EXP(C$6*$G8+$M8)</f>
        <v>1.070743307065448</v>
      </c>
      <c r="C24" s="5">
        <f t="shared" si="14"/>
        <v>2.9256692934552461E-2</v>
      </c>
      <c r="D24" s="5">
        <f t="shared" si="9"/>
        <v>1.1000000000000003</v>
      </c>
      <c r="F24" s="41">
        <f t="shared" ref="F24:G24" si="15">+$G8*B24</f>
        <v>4.2829732282617918</v>
      </c>
      <c r="G24" s="41">
        <f t="shared" si="15"/>
        <v>0.11702677173820984</v>
      </c>
    </row>
    <row r="25" spans="1:7" x14ac:dyDescent="0.25">
      <c r="F25" s="5">
        <f>+SUM(F21:F24)</f>
        <v>10.116228213642636</v>
      </c>
      <c r="G25" s="5">
        <f>+SUM(G21:G24)</f>
        <v>0.98377178635736684</v>
      </c>
    </row>
    <row r="26" spans="1:7" x14ac:dyDescent="0.25">
      <c r="F26" s="44"/>
      <c r="G26" s="44"/>
    </row>
    <row r="27" spans="1:7" x14ac:dyDescent="0.25">
      <c r="E27" t="s">
        <v>85</v>
      </c>
      <c r="F27" s="44">
        <f>+F25-F16</f>
        <v>5.3857240426780786</v>
      </c>
      <c r="G27" s="44">
        <f>+G25-G16</f>
        <v>-5.3857240426780768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B624-8536-44A7-AFEC-1A38C70D63D9}">
  <dimension ref="C4:R25"/>
  <sheetViews>
    <sheetView workbookViewId="0">
      <selection activeCell="P18" sqref="P18"/>
    </sheetView>
  </sheetViews>
  <sheetFormatPr defaultRowHeight="15" x14ac:dyDescent="0.25"/>
  <sheetData>
    <row r="4" spans="3:17" x14ac:dyDescent="0.25">
      <c r="C4" t="s">
        <v>168</v>
      </c>
      <c r="D4">
        <v>100</v>
      </c>
    </row>
    <row r="6" spans="3:17" x14ac:dyDescent="0.25">
      <c r="H6" t="s">
        <v>86</v>
      </c>
      <c r="K6" t="s">
        <v>81</v>
      </c>
    </row>
    <row r="7" spans="3:17" x14ac:dyDescent="0.25">
      <c r="C7" t="s">
        <v>113</v>
      </c>
      <c r="D7" t="s">
        <v>114</v>
      </c>
      <c r="E7" t="s">
        <v>169</v>
      </c>
      <c r="G7" t="s">
        <v>170</v>
      </c>
      <c r="H7">
        <v>1</v>
      </c>
      <c r="I7">
        <v>2</v>
      </c>
      <c r="K7" t="s">
        <v>170</v>
      </c>
      <c r="L7" t="s">
        <v>113</v>
      </c>
      <c r="M7" t="s">
        <v>114</v>
      </c>
      <c r="N7" t="s">
        <v>86</v>
      </c>
      <c r="O7" t="s">
        <v>171</v>
      </c>
      <c r="P7" t="s">
        <v>63</v>
      </c>
      <c r="Q7" t="s">
        <v>172</v>
      </c>
    </row>
    <row r="8" spans="3:17" x14ac:dyDescent="0.25">
      <c r="C8">
        <v>1</v>
      </c>
      <c r="D8">
        <v>1</v>
      </c>
      <c r="E8" s="5">
        <v>0.1</v>
      </c>
      <c r="G8">
        <v>1</v>
      </c>
      <c r="H8" s="38">
        <v>0.2</v>
      </c>
      <c r="I8" s="38">
        <f>+H8+0.3</f>
        <v>0.5</v>
      </c>
      <c r="K8">
        <v>1</v>
      </c>
      <c r="L8">
        <v>1</v>
      </c>
      <c r="M8">
        <v>1</v>
      </c>
      <c r="N8" s="9">
        <f>+H$8</f>
        <v>0.2</v>
      </c>
      <c r="O8" s="9">
        <f>+E8*N8</f>
        <v>2.0000000000000004E-2</v>
      </c>
    </row>
    <row r="9" spans="3:17" x14ac:dyDescent="0.25">
      <c r="C9">
        <v>2</v>
      </c>
      <c r="D9">
        <v>1</v>
      </c>
      <c r="E9" s="5">
        <f>+E8+0.1</f>
        <v>0.2</v>
      </c>
      <c r="G9">
        <v>2</v>
      </c>
      <c r="H9" s="5">
        <f>+H8+0.2</f>
        <v>0.4</v>
      </c>
      <c r="I9" s="5">
        <f t="shared" ref="I9:I12" si="0">+H9+0.3</f>
        <v>0.7</v>
      </c>
      <c r="K9">
        <v>1</v>
      </c>
      <c r="L9">
        <v>1</v>
      </c>
      <c r="M9">
        <v>2</v>
      </c>
      <c r="N9" s="9">
        <f>+I$8</f>
        <v>0.5</v>
      </c>
      <c r="O9" s="9">
        <f>+E9*N9</f>
        <v>0.1</v>
      </c>
    </row>
    <row r="10" spans="3:17" x14ac:dyDescent="0.25">
      <c r="C10">
        <v>3</v>
      </c>
      <c r="D10">
        <v>1</v>
      </c>
      <c r="E10" s="5">
        <f t="shared" ref="E10:E13" si="1">+E9+0.1</f>
        <v>0.30000000000000004</v>
      </c>
      <c r="G10">
        <v>3</v>
      </c>
      <c r="H10" s="5">
        <f t="shared" ref="H10:H12" si="2">+H9+0.2</f>
        <v>0.60000000000000009</v>
      </c>
      <c r="I10" s="5">
        <f t="shared" si="0"/>
        <v>0.90000000000000013</v>
      </c>
      <c r="P10" s="9">
        <f>+O9+O8</f>
        <v>0.12000000000000001</v>
      </c>
      <c r="Q10">
        <f>+EXP(P10)</f>
        <v>1.1274968515793757</v>
      </c>
    </row>
    <row r="11" spans="3:17" x14ac:dyDescent="0.25">
      <c r="C11">
        <v>1</v>
      </c>
      <c r="D11">
        <v>2</v>
      </c>
      <c r="E11" s="5">
        <f t="shared" si="1"/>
        <v>0.4</v>
      </c>
      <c r="G11">
        <v>4</v>
      </c>
      <c r="H11" s="5">
        <f t="shared" si="2"/>
        <v>0.8</v>
      </c>
      <c r="I11" s="5">
        <f t="shared" si="0"/>
        <v>1.1000000000000001</v>
      </c>
      <c r="K11">
        <v>1</v>
      </c>
      <c r="L11">
        <v>2</v>
      </c>
      <c r="M11">
        <v>1</v>
      </c>
      <c r="N11" s="9">
        <f>+H$8</f>
        <v>0.2</v>
      </c>
      <c r="O11" s="9">
        <f>+E10*N11</f>
        <v>6.0000000000000012E-2</v>
      </c>
    </row>
    <row r="12" spans="3:17" x14ac:dyDescent="0.25">
      <c r="C12">
        <v>2</v>
      </c>
      <c r="D12">
        <v>2</v>
      </c>
      <c r="E12" s="5">
        <f t="shared" si="1"/>
        <v>0.5</v>
      </c>
      <c r="G12">
        <v>5</v>
      </c>
      <c r="H12" s="5">
        <f t="shared" si="2"/>
        <v>1</v>
      </c>
      <c r="I12" s="5">
        <f t="shared" si="0"/>
        <v>1.3</v>
      </c>
      <c r="K12">
        <v>1</v>
      </c>
      <c r="L12">
        <v>2</v>
      </c>
      <c r="M12">
        <v>2</v>
      </c>
      <c r="N12" s="9">
        <f>+I$8</f>
        <v>0.5</v>
      </c>
      <c r="O12" s="9">
        <f>+E11*N12</f>
        <v>0.2</v>
      </c>
    </row>
    <row r="13" spans="3:17" x14ac:dyDescent="0.25">
      <c r="C13">
        <v>3</v>
      </c>
      <c r="D13">
        <v>2</v>
      </c>
      <c r="E13" s="5">
        <f t="shared" si="1"/>
        <v>0.6</v>
      </c>
      <c r="P13" s="9">
        <f>+O12+O11</f>
        <v>0.26</v>
      </c>
      <c r="Q13">
        <f>+EXP(P13)</f>
        <v>1.2969300866657718</v>
      </c>
    </row>
    <row r="14" spans="3:17" x14ac:dyDescent="0.25">
      <c r="K14">
        <v>1</v>
      </c>
      <c r="L14">
        <v>3</v>
      </c>
      <c r="M14">
        <v>1</v>
      </c>
      <c r="N14" s="9">
        <f>+H$8</f>
        <v>0.2</v>
      </c>
      <c r="O14" s="9">
        <f>+E12*N14</f>
        <v>0.1</v>
      </c>
    </row>
    <row r="15" spans="3:17" x14ac:dyDescent="0.25">
      <c r="K15">
        <v>1</v>
      </c>
      <c r="L15">
        <v>3</v>
      </c>
      <c r="M15">
        <v>2</v>
      </c>
      <c r="N15" s="9">
        <f>+I$8</f>
        <v>0.5</v>
      </c>
      <c r="O15" s="9">
        <f>+E13*N15</f>
        <v>0.3</v>
      </c>
    </row>
    <row r="16" spans="3:17" x14ac:dyDescent="0.25">
      <c r="P16" s="9">
        <f>+O15+O14</f>
        <v>0.4</v>
      </c>
      <c r="Q16">
        <f>+EXP(P16)</f>
        <v>1.4918246976412703</v>
      </c>
    </row>
    <row r="18" spans="15:18" x14ac:dyDescent="0.25">
      <c r="O18" t="s">
        <v>178</v>
      </c>
      <c r="P18" s="9">
        <f>+SUM(P10:P16)</f>
        <v>0.78</v>
      </c>
      <c r="Q18">
        <f>+SUM(Q10:Q16)</f>
        <v>3.9162516358864181</v>
      </c>
      <c r="R18" t="s">
        <v>177</v>
      </c>
    </row>
    <row r="20" spans="15:18" x14ac:dyDescent="0.25">
      <c r="Q20">
        <f>+D4/Q18</f>
        <v>25.534620677500374</v>
      </c>
      <c r="R20" t="s">
        <v>173</v>
      </c>
    </row>
    <row r="22" spans="15:18" x14ac:dyDescent="0.25">
      <c r="Q22">
        <f>+LN(Q20)</f>
        <v>3.2400352049863481</v>
      </c>
      <c r="R22" t="s">
        <v>174</v>
      </c>
    </row>
    <row r="24" spans="15:18" x14ac:dyDescent="0.25">
      <c r="P24" t="s">
        <v>175</v>
      </c>
    </row>
    <row r="25" spans="15:18" x14ac:dyDescent="0.25">
      <c r="Q25">
        <f>+LN(D4)</f>
        <v>4.6051701859880918</v>
      </c>
      <c r="R25" t="s">
        <v>176</v>
      </c>
    </row>
  </sheetData>
  <sortState xmlns:xlrd2="http://schemas.microsoft.com/office/spreadsheetml/2017/richdata2" ref="K8:O13">
    <sortCondition ref="L8:L13"/>
    <sortCondition ref="M8:M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3D37-AC5D-4399-A353-599096FFD8EE}">
  <dimension ref="A3:AB75"/>
  <sheetViews>
    <sheetView workbookViewId="0">
      <selection activeCell="A17" sqref="A17:A22"/>
    </sheetView>
  </sheetViews>
  <sheetFormatPr defaultRowHeight="15" x14ac:dyDescent="0.25"/>
  <cols>
    <col min="4" max="4" width="10.28515625" bestFit="1" customWidth="1"/>
    <col min="5" max="6" width="9.7109375" bestFit="1" customWidth="1"/>
    <col min="7" max="7" width="10.28515625" bestFit="1" customWidth="1"/>
    <col min="8" max="8" width="9.7109375" bestFit="1" customWidth="1"/>
    <col min="9" max="9" width="10.28515625" bestFit="1" customWidth="1"/>
    <col min="10" max="10" width="9.5703125" bestFit="1" customWidth="1"/>
    <col min="16" max="16" width="9.5703125" bestFit="1" customWidth="1"/>
    <col min="18" max="20" width="9.5703125" bestFit="1" customWidth="1"/>
    <col min="23" max="25" width="9.5703125" bestFit="1" customWidth="1"/>
    <col min="26" max="26" width="9.28515625" bestFit="1" customWidth="1"/>
    <col min="27" max="27" width="9.5703125" bestFit="1" customWidth="1"/>
    <col min="28" max="28" width="11.5703125" bestFit="1" customWidth="1"/>
  </cols>
  <sheetData>
    <row r="3" spans="1:28" x14ac:dyDescent="0.25">
      <c r="C3" t="s">
        <v>40</v>
      </c>
    </row>
    <row r="4" spans="1:28" x14ac:dyDescent="0.25">
      <c r="D4" t="s">
        <v>46</v>
      </c>
      <c r="E4" t="s">
        <v>96</v>
      </c>
      <c r="F4" t="s">
        <v>97</v>
      </c>
      <c r="G4" t="s">
        <v>98</v>
      </c>
      <c r="H4" t="s">
        <v>100</v>
      </c>
      <c r="I4" t="s">
        <v>99</v>
      </c>
      <c r="V4" s="16" t="s">
        <v>59</v>
      </c>
    </row>
    <row r="5" spans="1:28" x14ac:dyDescent="0.25">
      <c r="C5" t="s">
        <v>32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L5" t="s">
        <v>33</v>
      </c>
      <c r="M5" t="s">
        <v>36</v>
      </c>
      <c r="Q5" t="s">
        <v>44</v>
      </c>
      <c r="R5" t="s">
        <v>36</v>
      </c>
      <c r="S5" t="s">
        <v>36</v>
      </c>
      <c r="W5" t="s">
        <v>37</v>
      </c>
      <c r="X5" t="s">
        <v>37</v>
      </c>
      <c r="Y5" t="s">
        <v>37</v>
      </c>
      <c r="Z5" t="s">
        <v>37</v>
      </c>
    </row>
    <row r="6" spans="1:28" x14ac:dyDescent="0.25">
      <c r="C6" s="3"/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L6" s="3"/>
      <c r="M6" t="s">
        <v>20</v>
      </c>
      <c r="N6" t="s">
        <v>21</v>
      </c>
      <c r="Q6" s="3"/>
      <c r="R6" t="s">
        <v>20</v>
      </c>
      <c r="S6" t="s">
        <v>21</v>
      </c>
      <c r="V6" s="3"/>
      <c r="W6" t="s">
        <v>20</v>
      </c>
      <c r="X6" t="s">
        <v>21</v>
      </c>
      <c r="Y6" t="s">
        <v>22</v>
      </c>
      <c r="Z6" t="s">
        <v>23</v>
      </c>
    </row>
    <row r="7" spans="1:28" x14ac:dyDescent="0.25">
      <c r="A7" t="s">
        <v>46</v>
      </c>
      <c r="B7" t="s">
        <v>53</v>
      </c>
      <c r="C7" s="3" t="s">
        <v>26</v>
      </c>
      <c r="D7" s="29">
        <v>-882.27980000000002</v>
      </c>
      <c r="E7" s="30">
        <v>553.07776999999999</v>
      </c>
      <c r="F7" s="5">
        <v>329.20208000000002</v>
      </c>
      <c r="G7" s="5">
        <v>-336.50592999999998</v>
      </c>
      <c r="H7" s="5">
        <v>213.59550999999999</v>
      </c>
      <c r="I7" s="5">
        <v>122.91043000000001</v>
      </c>
      <c r="K7" t="s">
        <v>37</v>
      </c>
      <c r="L7" s="3" t="s">
        <v>26</v>
      </c>
      <c r="M7" s="13">
        <v>5</v>
      </c>
      <c r="N7">
        <v>6</v>
      </c>
      <c r="P7" t="s">
        <v>36</v>
      </c>
      <c r="Q7" s="3" t="s">
        <v>26</v>
      </c>
      <c r="R7" s="13">
        <v>164</v>
      </c>
      <c r="S7">
        <v>79</v>
      </c>
      <c r="U7" t="s">
        <v>37</v>
      </c>
      <c r="V7" s="3" t="s">
        <v>26</v>
      </c>
      <c r="W7">
        <v>61</v>
      </c>
      <c r="X7">
        <v>59</v>
      </c>
      <c r="Y7">
        <v>57</v>
      </c>
      <c r="Z7">
        <v>21</v>
      </c>
      <c r="AB7" s="9">
        <f>+W7*$M21</f>
        <v>176.600978</v>
      </c>
    </row>
    <row r="8" spans="1:28" x14ac:dyDescent="0.25">
      <c r="A8" t="s">
        <v>96</v>
      </c>
      <c r="B8" t="s">
        <v>54</v>
      </c>
      <c r="C8" s="3" t="s">
        <v>27</v>
      </c>
      <c r="D8" s="5">
        <v>553.07780000000002</v>
      </c>
      <c r="E8" s="20">
        <v>-736.85470999999995</v>
      </c>
      <c r="F8" s="5">
        <v>183.77694</v>
      </c>
      <c r="G8" s="5">
        <v>213.59550999999999</v>
      </c>
      <c r="H8" s="5">
        <v>-312.39604000000003</v>
      </c>
      <c r="I8" s="5">
        <v>98.800529999999995</v>
      </c>
      <c r="K8" t="s">
        <v>37</v>
      </c>
      <c r="L8" s="3" t="s">
        <v>27</v>
      </c>
      <c r="M8" s="13">
        <v>7</v>
      </c>
      <c r="N8">
        <v>4</v>
      </c>
      <c r="P8" t="s">
        <v>36</v>
      </c>
      <c r="Q8" s="4" t="s">
        <v>27</v>
      </c>
      <c r="R8">
        <v>79</v>
      </c>
      <c r="S8">
        <v>57</v>
      </c>
      <c r="U8" t="s">
        <v>37</v>
      </c>
      <c r="V8" s="3" t="s">
        <v>27</v>
      </c>
      <c r="W8">
        <v>59</v>
      </c>
      <c r="X8">
        <v>65</v>
      </c>
      <c r="Y8">
        <v>71</v>
      </c>
      <c r="Z8">
        <v>25</v>
      </c>
      <c r="AB8" s="9">
        <f t="shared" ref="AB8:AB10" si="0">+W8*$M22</f>
        <v>529.16120599999999</v>
      </c>
    </row>
    <row r="9" spans="1:28" x14ac:dyDescent="0.25">
      <c r="A9" t="s">
        <v>97</v>
      </c>
      <c r="B9" t="s">
        <v>58</v>
      </c>
      <c r="C9" s="3" t="s">
        <v>28</v>
      </c>
      <c r="D9" s="5">
        <v>329.20209999999997</v>
      </c>
      <c r="E9" s="5">
        <v>183.77694</v>
      </c>
      <c r="F9" s="20">
        <v>-512.97901000000002</v>
      </c>
      <c r="G9" s="5">
        <v>122.91043000000001</v>
      </c>
      <c r="H9" s="5">
        <v>98.800529999999995</v>
      </c>
      <c r="I9" s="5">
        <v>-221.71096</v>
      </c>
      <c r="K9" t="s">
        <v>37</v>
      </c>
      <c r="L9" s="3" t="s">
        <v>28</v>
      </c>
      <c r="M9" s="13">
        <v>9</v>
      </c>
      <c r="N9">
        <v>2</v>
      </c>
      <c r="U9" t="s">
        <v>37</v>
      </c>
      <c r="V9" s="3" t="s">
        <v>28</v>
      </c>
      <c r="W9">
        <v>57</v>
      </c>
      <c r="X9">
        <v>71</v>
      </c>
      <c r="Y9">
        <v>85</v>
      </c>
      <c r="Z9">
        <v>29</v>
      </c>
      <c r="AB9" s="9">
        <f t="shared" si="0"/>
        <v>1109.521587</v>
      </c>
    </row>
    <row r="10" spans="1:28" x14ac:dyDescent="0.25">
      <c r="A10" t="s">
        <v>98</v>
      </c>
      <c r="B10" t="s">
        <v>55</v>
      </c>
      <c r="C10" s="3" t="s">
        <v>29</v>
      </c>
      <c r="D10" s="5">
        <v>-336.5059</v>
      </c>
      <c r="E10" s="5">
        <v>213.59550999999999</v>
      </c>
      <c r="F10" s="5">
        <v>122.91043000000001</v>
      </c>
      <c r="G10" s="20">
        <v>-186.93831</v>
      </c>
      <c r="H10" s="5">
        <v>120.44041</v>
      </c>
      <c r="I10" s="5">
        <v>66.497910000000005</v>
      </c>
      <c r="K10" t="s">
        <v>37</v>
      </c>
      <c r="L10" s="4" t="s">
        <v>29</v>
      </c>
      <c r="M10" s="13">
        <v>3</v>
      </c>
      <c r="N10">
        <v>1</v>
      </c>
      <c r="Q10" s="16" t="s">
        <v>45</v>
      </c>
      <c r="U10" t="s">
        <v>37</v>
      </c>
      <c r="V10" s="4" t="s">
        <v>29</v>
      </c>
      <c r="W10">
        <v>21</v>
      </c>
      <c r="X10">
        <v>25</v>
      </c>
      <c r="Y10">
        <v>29</v>
      </c>
      <c r="Z10">
        <v>10</v>
      </c>
      <c r="AB10" s="9">
        <f t="shared" si="0"/>
        <v>132.378603</v>
      </c>
    </row>
    <row r="11" spans="1:28" x14ac:dyDescent="0.25">
      <c r="A11" t="s">
        <v>100</v>
      </c>
      <c r="B11" t="s">
        <v>56</v>
      </c>
      <c r="C11" s="3" t="s">
        <v>30</v>
      </c>
      <c r="D11" s="5">
        <v>213.59549999999999</v>
      </c>
      <c r="E11" s="5">
        <v>-312.39604000000003</v>
      </c>
      <c r="F11" s="5">
        <v>98.800529999999995</v>
      </c>
      <c r="G11" s="5">
        <v>120.44041</v>
      </c>
      <c r="H11" s="20">
        <v>-195.81227000000001</v>
      </c>
      <c r="I11" s="5">
        <v>75.371870000000001</v>
      </c>
      <c r="M11" s="5">
        <f>+SUM(M7:M10)</f>
        <v>24</v>
      </c>
      <c r="Q11" s="3"/>
      <c r="R11" t="s">
        <v>20</v>
      </c>
      <c r="S11" t="s">
        <v>21</v>
      </c>
      <c r="AA11">
        <f>+SUM(W7:Z10)</f>
        <v>745</v>
      </c>
    </row>
    <row r="12" spans="1:28" x14ac:dyDescent="0.25">
      <c r="A12" t="s">
        <v>99</v>
      </c>
      <c r="B12" t="s">
        <v>57</v>
      </c>
      <c r="C12" s="4" t="s">
        <v>31</v>
      </c>
      <c r="D12" s="5">
        <v>122.9104</v>
      </c>
      <c r="E12" s="5">
        <v>98.800529999999995</v>
      </c>
      <c r="F12" s="5">
        <v>-221.71096</v>
      </c>
      <c r="G12" s="5">
        <v>66.497910000000005</v>
      </c>
      <c r="H12" s="5">
        <v>75.371870000000001</v>
      </c>
      <c r="I12" s="20">
        <v>-141.86976999999999</v>
      </c>
      <c r="L12" s="3" t="s">
        <v>39</v>
      </c>
      <c r="M12" t="s">
        <v>36</v>
      </c>
      <c r="Q12" s="3" t="s">
        <v>26</v>
      </c>
      <c r="R12" s="17">
        <v>25</v>
      </c>
      <c r="S12" s="17">
        <v>36</v>
      </c>
      <c r="W12">
        <f>+M21*W7</f>
        <v>176.600978</v>
      </c>
    </row>
    <row r="13" spans="1:28" x14ac:dyDescent="0.25">
      <c r="L13" s="3"/>
      <c r="M13" t="s">
        <v>20</v>
      </c>
      <c r="N13" t="s">
        <v>21</v>
      </c>
      <c r="Q13" s="3" t="s">
        <v>27</v>
      </c>
      <c r="R13" s="17">
        <v>49</v>
      </c>
      <c r="S13" s="17">
        <v>16</v>
      </c>
      <c r="V13" s="16" t="s">
        <v>60</v>
      </c>
    </row>
    <row r="14" spans="1:28" x14ac:dyDescent="0.25">
      <c r="D14" t="s">
        <v>46</v>
      </c>
      <c r="E14" t="s">
        <v>96</v>
      </c>
      <c r="F14" t="s">
        <v>97</v>
      </c>
      <c r="G14" t="s">
        <v>98</v>
      </c>
      <c r="H14" t="s">
        <v>100</v>
      </c>
      <c r="I14" t="s">
        <v>99</v>
      </c>
      <c r="K14" t="s">
        <v>35</v>
      </c>
      <c r="L14" s="3" t="s">
        <v>26</v>
      </c>
      <c r="M14" s="14">
        <v>267</v>
      </c>
      <c r="N14" s="5">
        <v>98</v>
      </c>
      <c r="Q14" s="3" t="s">
        <v>28</v>
      </c>
      <c r="R14" s="17">
        <v>81</v>
      </c>
      <c r="S14" s="17">
        <v>4</v>
      </c>
      <c r="V14" s="3"/>
      <c r="W14" t="s">
        <v>20</v>
      </c>
      <c r="X14" t="s">
        <v>21</v>
      </c>
      <c r="Y14" t="s">
        <v>22</v>
      </c>
      <c r="Z14" t="s">
        <v>23</v>
      </c>
    </row>
    <row r="15" spans="1:28" x14ac:dyDescent="0.25">
      <c r="C15" t="s">
        <v>107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K15" t="s">
        <v>35</v>
      </c>
      <c r="L15" s="3" t="s">
        <v>27</v>
      </c>
      <c r="M15" s="5">
        <v>165</v>
      </c>
      <c r="N15" s="5">
        <v>82</v>
      </c>
      <c r="Q15" s="4" t="s">
        <v>29</v>
      </c>
      <c r="R15" s="17">
        <v>9</v>
      </c>
      <c r="S15" s="17">
        <v>1</v>
      </c>
      <c r="V15" s="3" t="s">
        <v>26</v>
      </c>
      <c r="W15" s="5">
        <v>176.601</v>
      </c>
      <c r="X15" s="5">
        <v>170.8108</v>
      </c>
      <c r="Y15" s="5">
        <v>165.0206</v>
      </c>
      <c r="Z15" s="5">
        <v>60.797069999999998</v>
      </c>
      <c r="AA15" s="5"/>
      <c r="AB15" s="9"/>
    </row>
    <row r="16" spans="1:28" x14ac:dyDescent="0.25"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K16" t="s">
        <v>35</v>
      </c>
      <c r="L16" s="4" t="s">
        <v>28</v>
      </c>
      <c r="M16" s="5">
        <v>78</v>
      </c>
      <c r="N16" s="5">
        <v>41</v>
      </c>
      <c r="R16" s="19">
        <f>+SUM(R12:R15)</f>
        <v>164</v>
      </c>
      <c r="S16" s="18">
        <f>+SUM(S12:S15)</f>
        <v>57</v>
      </c>
      <c r="V16" s="3" t="s">
        <v>27</v>
      </c>
      <c r="W16" s="5">
        <v>529.16120000000001</v>
      </c>
      <c r="X16" s="5">
        <v>582.9742</v>
      </c>
      <c r="Y16" s="5">
        <v>636.78719999999998</v>
      </c>
      <c r="Z16" s="5">
        <v>224.22085999999999</v>
      </c>
      <c r="AA16" s="5"/>
      <c r="AB16" s="9"/>
    </row>
    <row r="17" spans="1:28" x14ac:dyDescent="0.25">
      <c r="A17" t="s">
        <v>46</v>
      </c>
      <c r="B17" t="s">
        <v>53</v>
      </c>
      <c r="C17" s="3" t="s">
        <v>26</v>
      </c>
      <c r="D17" s="31">
        <f>+G47</f>
        <v>-2145.2725740000001</v>
      </c>
      <c r="V17" s="3" t="s">
        <v>28</v>
      </c>
      <c r="W17" s="5">
        <v>1109.5216</v>
      </c>
      <c r="X17" s="5">
        <v>1382.0356999999999</v>
      </c>
      <c r="Y17" s="5">
        <v>1654.5497</v>
      </c>
      <c r="Z17" s="5">
        <v>564.49343999999996</v>
      </c>
      <c r="AA17" s="5"/>
      <c r="AB17" s="9"/>
    </row>
    <row r="18" spans="1:28" x14ac:dyDescent="0.25">
      <c r="A18" t="s">
        <v>96</v>
      </c>
      <c r="B18" t="s">
        <v>54</v>
      </c>
      <c r="C18" s="3" t="s">
        <v>27</v>
      </c>
      <c r="V18" s="4" t="s">
        <v>29</v>
      </c>
      <c r="W18" s="5">
        <v>132.37860000000001</v>
      </c>
      <c r="X18" s="5">
        <v>157.59360000000001</v>
      </c>
      <c r="Y18" s="5">
        <v>182.80850000000001</v>
      </c>
      <c r="Z18" s="5">
        <v>63.037430000000001</v>
      </c>
      <c r="AA18" s="5"/>
      <c r="AB18" s="9"/>
    </row>
    <row r="19" spans="1:28" x14ac:dyDescent="0.25">
      <c r="A19" t="s">
        <v>97</v>
      </c>
      <c r="B19" t="s">
        <v>58</v>
      </c>
      <c r="C19" s="3" t="s">
        <v>28</v>
      </c>
      <c r="L19" t="s">
        <v>34</v>
      </c>
      <c r="M19" t="s">
        <v>35</v>
      </c>
      <c r="R19" s="9"/>
      <c r="W19" s="5"/>
      <c r="X19" s="5"/>
      <c r="Y19" s="5"/>
      <c r="Z19" s="5"/>
      <c r="AA19" s="5">
        <f>+SUM(W15:Z18)</f>
        <v>7792.7915000000003</v>
      </c>
    </row>
    <row r="20" spans="1:28" x14ac:dyDescent="0.25">
      <c r="A20" t="s">
        <v>98</v>
      </c>
      <c r="B20" t="s">
        <v>55</v>
      </c>
      <c r="C20" s="3" t="s">
        <v>29</v>
      </c>
      <c r="L20" s="3"/>
      <c r="M20" t="s">
        <v>20</v>
      </c>
      <c r="N20" t="s">
        <v>21</v>
      </c>
      <c r="O20" t="s">
        <v>22</v>
      </c>
      <c r="R20" s="9"/>
    </row>
    <row r="21" spans="1:28" x14ac:dyDescent="0.25">
      <c r="A21" t="s">
        <v>100</v>
      </c>
      <c r="B21" t="s">
        <v>56</v>
      </c>
      <c r="C21" s="3" t="s">
        <v>30</v>
      </c>
      <c r="H21" s="31">
        <f>+I47</f>
        <v>-336.70086900000001</v>
      </c>
      <c r="K21" t="s">
        <v>37</v>
      </c>
      <c r="L21" s="3" t="s">
        <v>26</v>
      </c>
      <c r="M21" s="23">
        <v>2.8950979999999999</v>
      </c>
      <c r="N21" s="7">
        <v>5.3485060000000004</v>
      </c>
      <c r="O21" s="7">
        <v>2.7563960000000001</v>
      </c>
      <c r="P21">
        <f>+M21*M7</f>
        <v>14.475490000000001</v>
      </c>
      <c r="R21" s="5">
        <f>+R12*M21</f>
        <v>72.377449999999996</v>
      </c>
      <c r="S21" s="9"/>
      <c r="T21" s="5"/>
    </row>
    <row r="22" spans="1:28" x14ac:dyDescent="0.25">
      <c r="A22" t="s">
        <v>99</v>
      </c>
      <c r="B22" t="s">
        <v>57</v>
      </c>
      <c r="C22" s="4" t="s">
        <v>31</v>
      </c>
      <c r="K22" t="s">
        <v>37</v>
      </c>
      <c r="L22" s="3" t="s">
        <v>27</v>
      </c>
      <c r="M22" s="12">
        <v>8.9688339999999993</v>
      </c>
      <c r="N22" s="7">
        <v>7.0734339999999998</v>
      </c>
      <c r="O22" s="7">
        <v>3.9577309999999999</v>
      </c>
      <c r="P22">
        <f t="shared" ref="P22:P24" si="1">+M22*M8</f>
        <v>62.781837999999993</v>
      </c>
      <c r="R22" s="5">
        <f t="shared" ref="R22:R24" si="2">+R13*M22</f>
        <v>439.47286599999995</v>
      </c>
      <c r="S22" s="9"/>
      <c r="T22" s="5"/>
    </row>
    <row r="23" spans="1:28" x14ac:dyDescent="0.25">
      <c r="K23" t="s">
        <v>37</v>
      </c>
      <c r="L23" s="3" t="s">
        <v>28</v>
      </c>
      <c r="M23" s="12">
        <v>19.465291000000001</v>
      </c>
      <c r="N23" s="7">
        <v>6.5536070000000004</v>
      </c>
      <c r="O23" s="7">
        <v>3.9811019999999999</v>
      </c>
      <c r="P23">
        <f t="shared" si="1"/>
        <v>175.18761900000001</v>
      </c>
      <c r="R23" s="5">
        <f t="shared" si="2"/>
        <v>1576.6885710000001</v>
      </c>
      <c r="S23" s="9"/>
      <c r="T23" s="5"/>
    </row>
    <row r="24" spans="1:28" x14ac:dyDescent="0.25">
      <c r="K24" t="s">
        <v>37</v>
      </c>
      <c r="L24" s="4" t="s">
        <v>29</v>
      </c>
      <c r="M24" s="12">
        <v>6.3037429999999999</v>
      </c>
      <c r="N24" s="7">
        <v>4.7652809999999999</v>
      </c>
      <c r="O24" s="7">
        <v>3.9309759999999998</v>
      </c>
      <c r="P24">
        <f t="shared" si="1"/>
        <v>18.911228999999999</v>
      </c>
      <c r="R24" s="5">
        <f t="shared" si="2"/>
        <v>56.733686999999996</v>
      </c>
      <c r="S24" s="9"/>
      <c r="T24" s="5"/>
    </row>
    <row r="25" spans="1:28" x14ac:dyDescent="0.25">
      <c r="M25" s="20">
        <f>+SUM(M21:M24)</f>
        <v>37.632965999999996</v>
      </c>
      <c r="N25" s="21">
        <f>+SUM(N21:N24)</f>
        <v>23.740828</v>
      </c>
      <c r="O25" s="21">
        <f>+SUM(O21:O24)</f>
        <v>14.626204999999999</v>
      </c>
      <c r="P25" s="22">
        <f>+SUM(P21:P24)</f>
        <v>271.356176</v>
      </c>
      <c r="Q25">
        <f>+M25*R7</f>
        <v>6171.8064239999994</v>
      </c>
      <c r="R25" s="9">
        <f>+SUM(R21:R24)</f>
        <v>2145.2725740000001</v>
      </c>
      <c r="S25" s="9"/>
    </row>
    <row r="26" spans="1:28" x14ac:dyDescent="0.25">
      <c r="L26" s="3" t="s">
        <v>38</v>
      </c>
      <c r="M26" t="s">
        <v>36</v>
      </c>
      <c r="Q26" s="9">
        <f>+M11*M25</f>
        <v>903.19118399999991</v>
      </c>
    </row>
    <row r="27" spans="1:28" x14ac:dyDescent="0.25">
      <c r="L27" s="3"/>
      <c r="M27" t="s">
        <v>20</v>
      </c>
      <c r="N27" t="s">
        <v>21</v>
      </c>
    </row>
    <row r="28" spans="1:28" x14ac:dyDescent="0.25">
      <c r="K28" t="s">
        <v>35</v>
      </c>
      <c r="L28" s="3" t="s">
        <v>26</v>
      </c>
      <c r="M28" s="11">
        <v>0.13018226999999999</v>
      </c>
      <c r="N28" s="7">
        <v>-0.13986209999999999</v>
      </c>
      <c r="O28" s="7"/>
      <c r="S28" s="16" t="s">
        <v>61</v>
      </c>
    </row>
    <row r="29" spans="1:28" x14ac:dyDescent="0.25">
      <c r="K29" t="s">
        <v>35</v>
      </c>
      <c r="L29" s="3" t="s">
        <v>27</v>
      </c>
      <c r="M29" s="7">
        <v>-4.616547E-2</v>
      </c>
      <c r="N29" s="7">
        <v>0.10939409999999999</v>
      </c>
      <c r="O29" s="7"/>
      <c r="S29" s="4" t="s">
        <v>62</v>
      </c>
      <c r="U29" t="s">
        <v>64</v>
      </c>
      <c r="V29" t="s">
        <v>65</v>
      </c>
    </row>
    <row r="30" spans="1:28" x14ac:dyDescent="0.25">
      <c r="K30" t="s">
        <v>35</v>
      </c>
      <c r="L30" s="4" t="s">
        <v>28</v>
      </c>
      <c r="M30" s="7">
        <v>-8.4005360000000001E-2</v>
      </c>
      <c r="N30" s="7">
        <v>3.0445099999999999E-2</v>
      </c>
      <c r="O30" s="7"/>
      <c r="R30" t="s">
        <v>37</v>
      </c>
      <c r="S30" s="5">
        <v>1.2512799999999999</v>
      </c>
      <c r="T30" s="9"/>
      <c r="U30" s="9">
        <f>+$M$28*M7</f>
        <v>0.65091134999999989</v>
      </c>
      <c r="V30" s="5"/>
    </row>
    <row r="31" spans="1:28" x14ac:dyDescent="0.25">
      <c r="R31" t="s">
        <v>37</v>
      </c>
      <c r="S31" s="5">
        <v>1.841928</v>
      </c>
      <c r="T31" s="9"/>
      <c r="U31" s="9">
        <f t="shared" ref="U31:U33" si="3">+$M$28*M8</f>
        <v>0.91127588999999998</v>
      </c>
      <c r="V31" s="5"/>
    </row>
    <row r="32" spans="1:28" x14ac:dyDescent="0.25">
      <c r="L32" s="3" t="s">
        <v>41</v>
      </c>
      <c r="M32" t="s">
        <v>36</v>
      </c>
      <c r="R32" t="s">
        <v>37</v>
      </c>
      <c r="S32" s="5">
        <v>2.0767169999999999</v>
      </c>
      <c r="T32" s="9"/>
      <c r="U32" s="9">
        <f t="shared" si="3"/>
        <v>1.1716404299999998</v>
      </c>
      <c r="V32" s="5"/>
    </row>
    <row r="33" spans="3:28" x14ac:dyDescent="0.25">
      <c r="L33" s="3"/>
      <c r="M33" t="s">
        <v>20</v>
      </c>
      <c r="N33" t="s">
        <v>21</v>
      </c>
      <c r="R33" t="s">
        <v>37</v>
      </c>
      <c r="S33" s="5">
        <v>1.5904590000000001</v>
      </c>
      <c r="T33" s="9"/>
      <c r="U33" s="9">
        <f t="shared" si="3"/>
        <v>0.39054680999999997</v>
      </c>
      <c r="V33" s="5"/>
    </row>
    <row r="34" spans="3:28" x14ac:dyDescent="0.25">
      <c r="K34" t="s">
        <v>35</v>
      </c>
      <c r="L34" s="3" t="s">
        <v>26</v>
      </c>
      <c r="M34" s="15">
        <v>271.35617999999999</v>
      </c>
      <c r="N34" s="8">
        <v>98.480249999999998</v>
      </c>
      <c r="P34" s="9"/>
      <c r="T34" s="9"/>
      <c r="X34" s="9">
        <f>+S30</f>
        <v>1.2512799999999999</v>
      </c>
      <c r="Y34" s="9">
        <f>+S31</f>
        <v>1.841928</v>
      </c>
      <c r="Z34" s="9">
        <f>+S32</f>
        <v>2.0767169999999999</v>
      </c>
      <c r="AA34" s="9">
        <f>+S33</f>
        <v>1.5904590000000001</v>
      </c>
    </row>
    <row r="35" spans="3:28" x14ac:dyDescent="0.25">
      <c r="K35" t="s">
        <v>35</v>
      </c>
      <c r="L35" s="3" t="s">
        <v>27</v>
      </c>
      <c r="M35" s="8">
        <v>149.53487999999999</v>
      </c>
      <c r="N35" s="8">
        <v>78.257270000000005</v>
      </c>
      <c r="W35" s="16" t="s">
        <v>66</v>
      </c>
    </row>
    <row r="36" spans="3:28" x14ac:dyDescent="0.25">
      <c r="K36" t="s">
        <v>35</v>
      </c>
      <c r="L36" s="4" t="s">
        <v>28</v>
      </c>
      <c r="M36" s="8">
        <v>89.108949999999993</v>
      </c>
      <c r="N36" s="8">
        <v>44.262479999999996</v>
      </c>
      <c r="U36" t="s">
        <v>118</v>
      </c>
      <c r="V36" t="s">
        <v>119</v>
      </c>
      <c r="W36" s="3"/>
      <c r="X36" t="s">
        <v>20</v>
      </c>
      <c r="Y36" t="s">
        <v>21</v>
      </c>
      <c r="Z36" t="s">
        <v>22</v>
      </c>
      <c r="AA36" t="s">
        <v>23</v>
      </c>
    </row>
    <row r="37" spans="3:28" x14ac:dyDescent="0.25">
      <c r="C37" t="s">
        <v>43</v>
      </c>
      <c r="R37">
        <f>+$M$28*M7</f>
        <v>0.65091134999999989</v>
      </c>
      <c r="S37">
        <f>+$M$21*M7</f>
        <v>14.475490000000001</v>
      </c>
      <c r="T37" s="24">
        <f>+U37+V37</f>
        <v>-0.18826125000000005</v>
      </c>
      <c r="U37">
        <f>+M28*M7</f>
        <v>0.65091134999999989</v>
      </c>
      <c r="V37">
        <f>+N28*N7</f>
        <v>-0.83917259999999994</v>
      </c>
      <c r="W37" s="3" t="s">
        <v>26</v>
      </c>
      <c r="X37" s="25">
        <v>-0.18826100000000001</v>
      </c>
      <c r="Y37" s="7">
        <v>0.35182760000000002</v>
      </c>
      <c r="Z37" s="7">
        <v>0.8919163</v>
      </c>
      <c r="AA37" s="7">
        <v>0.25068474000000002</v>
      </c>
      <c r="AB37" s="21">
        <f>+SUM(X37:AA37)</f>
        <v>1.30616764</v>
      </c>
    </row>
    <row r="38" spans="3:28" x14ac:dyDescent="0.25">
      <c r="L38" t="s">
        <v>42</v>
      </c>
      <c r="M38" s="3" t="s">
        <v>36</v>
      </c>
      <c r="R38">
        <f t="shared" ref="R38:R40" si="4">+$M$28*M8</f>
        <v>0.91127588999999998</v>
      </c>
      <c r="S38">
        <f t="shared" ref="S38:S40" si="5">+$M$21*M8</f>
        <v>20.265685999999999</v>
      </c>
      <c r="T38" s="26">
        <f>+U38+V38</f>
        <v>0.42553724999999998</v>
      </c>
      <c r="U38" s="9">
        <f>+M7*M29</f>
        <v>-0.23082734999999999</v>
      </c>
      <c r="V38" s="9">
        <f>+N7*N29</f>
        <v>0.65636459999999996</v>
      </c>
      <c r="W38" s="3" t="s">
        <v>27</v>
      </c>
      <c r="X38" s="7">
        <v>0.4255371</v>
      </c>
      <c r="Y38" s="7">
        <v>0.11441800000000001</v>
      </c>
      <c r="Z38" s="7">
        <v>-0.19670099999999999</v>
      </c>
      <c r="AA38" s="7">
        <v>-2.9102329999999999E-2</v>
      </c>
    </row>
    <row r="39" spans="3:28" x14ac:dyDescent="0.25">
      <c r="L39" s="3"/>
      <c r="M39" t="s">
        <v>20</v>
      </c>
      <c r="N39" t="s">
        <v>21</v>
      </c>
      <c r="R39">
        <f t="shared" si="4"/>
        <v>1.1716404299999998</v>
      </c>
      <c r="S39">
        <f t="shared" si="5"/>
        <v>26.055882</v>
      </c>
      <c r="U39" s="4"/>
      <c r="W39" s="4" t="s">
        <v>28</v>
      </c>
      <c r="X39" s="7">
        <v>-0.23735619999999999</v>
      </c>
      <c r="Y39" s="7">
        <v>-0.46625709999999998</v>
      </c>
      <c r="Z39" s="7">
        <v>-0.69515800000000005</v>
      </c>
      <c r="AA39" s="7">
        <v>-0.22157097000000001</v>
      </c>
    </row>
    <row r="40" spans="3:28" x14ac:dyDescent="0.25">
      <c r="K40" t="s">
        <v>35</v>
      </c>
      <c r="L40" s="3" t="s">
        <v>26</v>
      </c>
      <c r="M40" s="10">
        <v>-4.356179</v>
      </c>
      <c r="N40" s="6">
        <v>-0.48025210000000002</v>
      </c>
      <c r="R40">
        <f t="shared" si="4"/>
        <v>0.39054680999999997</v>
      </c>
      <c r="S40">
        <f t="shared" si="5"/>
        <v>8.685293999999999</v>
      </c>
    </row>
    <row r="41" spans="3:28" x14ac:dyDescent="0.25">
      <c r="H41" t="s">
        <v>106</v>
      </c>
      <c r="K41" t="s">
        <v>35</v>
      </c>
      <c r="L41" s="3" t="s">
        <v>27</v>
      </c>
      <c r="M41" s="6">
        <v>15.465123999999999</v>
      </c>
      <c r="N41" s="6">
        <v>3.7427326999999999</v>
      </c>
      <c r="W41" s="3" t="s">
        <v>67</v>
      </c>
    </row>
    <row r="42" spans="3:28" x14ac:dyDescent="0.25">
      <c r="D42" t="s">
        <v>94</v>
      </c>
      <c r="F42" t="s">
        <v>93</v>
      </c>
      <c r="G42" t="s">
        <v>104</v>
      </c>
      <c r="H42" t="s">
        <v>105</v>
      </c>
      <c r="I42" t="s">
        <v>108</v>
      </c>
      <c r="K42" t="s">
        <v>35</v>
      </c>
      <c r="L42" s="4" t="s">
        <v>28</v>
      </c>
      <c r="M42" s="6">
        <v>-11.108945</v>
      </c>
      <c r="N42" s="6">
        <v>-3.2624806</v>
      </c>
      <c r="W42" s="3" t="s">
        <v>26</v>
      </c>
      <c r="X42" s="9">
        <f>+X37+X$34</f>
        <v>1.0630189999999999</v>
      </c>
      <c r="Y42" s="9">
        <f t="shared" ref="Y42:AA42" si="6">+Y37+Y$34</f>
        <v>2.1937556000000002</v>
      </c>
      <c r="Z42" s="9">
        <f t="shared" si="6"/>
        <v>2.9686333</v>
      </c>
      <c r="AA42" s="9">
        <f t="shared" si="6"/>
        <v>1.8411437400000001</v>
      </c>
      <c r="AB42" s="21">
        <f>+SUM(X42:AA42)</f>
        <v>8.0665516400000001</v>
      </c>
    </row>
    <row r="43" spans="3:28" x14ac:dyDescent="0.25">
      <c r="F43" s="5">
        <f>+M21*M7</f>
        <v>14.475490000000001</v>
      </c>
      <c r="G43" s="5">
        <f>+F43*M7</f>
        <v>72.37745000000001</v>
      </c>
      <c r="H43" s="9"/>
      <c r="I43" s="9">
        <f>+S12*N21</f>
        <v>192.54621600000002</v>
      </c>
      <c r="J43" s="5"/>
      <c r="W43" s="3" t="s">
        <v>27</v>
      </c>
      <c r="X43" s="9">
        <f>+X38+X$34</f>
        <v>1.6768171000000001</v>
      </c>
      <c r="Y43" s="9">
        <f t="shared" ref="Y43:AA43" si="7">+Y38+Y$34</f>
        <v>1.9563459999999999</v>
      </c>
      <c r="Z43" s="9">
        <f t="shared" si="7"/>
        <v>1.8800159999999999</v>
      </c>
      <c r="AA43" s="9">
        <f t="shared" si="7"/>
        <v>1.5613566700000001</v>
      </c>
    </row>
    <row r="44" spans="3:28" x14ac:dyDescent="0.25">
      <c r="F44" s="5">
        <f>+M22*M8</f>
        <v>62.781837999999993</v>
      </c>
      <c r="G44" s="5">
        <f>+F44*M8</f>
        <v>439.47286599999995</v>
      </c>
      <c r="H44" s="9"/>
      <c r="I44" s="9">
        <f t="shared" ref="I44:I46" si="8">+S13*N22</f>
        <v>113.174944</v>
      </c>
      <c r="J44" s="5"/>
      <c r="M44" s="9">
        <f>+M14-M34</f>
        <v>-4.3561799999999948</v>
      </c>
      <c r="N44" s="9">
        <f t="shared" ref="N44:N46" si="9">+N14-N34</f>
        <v>-0.48024999999999807</v>
      </c>
      <c r="W44" s="4" t="s">
        <v>28</v>
      </c>
      <c r="X44" s="9">
        <f t="shared" ref="X44:AA44" si="10">+X39+X$34</f>
        <v>1.0139237999999999</v>
      </c>
      <c r="Y44" s="9">
        <f t="shared" si="10"/>
        <v>1.3756709</v>
      </c>
      <c r="Z44" s="9">
        <f t="shared" si="10"/>
        <v>1.3815589999999998</v>
      </c>
      <c r="AA44" s="9">
        <f t="shared" si="10"/>
        <v>1.3688880300000001</v>
      </c>
    </row>
    <row r="45" spans="3:28" x14ac:dyDescent="0.25">
      <c r="F45" s="5">
        <f>+M23*M9</f>
        <v>175.18761900000001</v>
      </c>
      <c r="G45" s="5">
        <f>+F45*M9</f>
        <v>1576.6885710000001</v>
      </c>
      <c r="H45" s="9"/>
      <c r="I45" s="9">
        <f t="shared" si="8"/>
        <v>26.214428000000002</v>
      </c>
      <c r="J45" s="5"/>
      <c r="M45" s="9">
        <f t="shared" ref="M45" si="11">+M15-M35</f>
        <v>15.465120000000013</v>
      </c>
      <c r="N45" s="9">
        <f t="shared" si="9"/>
        <v>3.7427299999999946</v>
      </c>
    </row>
    <row r="46" spans="3:28" x14ac:dyDescent="0.25">
      <c r="F46" s="5">
        <f>+M24*M10</f>
        <v>18.911228999999999</v>
      </c>
      <c r="G46" s="5">
        <f>+F46*M10</f>
        <v>56.733686999999996</v>
      </c>
      <c r="H46" s="9"/>
      <c r="I46" s="9">
        <f t="shared" si="8"/>
        <v>4.7652809999999999</v>
      </c>
      <c r="J46" s="5"/>
      <c r="M46" s="9">
        <f t="shared" ref="M46" si="12">+M16-M36</f>
        <v>-11.108949999999993</v>
      </c>
      <c r="N46" s="9">
        <f t="shared" si="9"/>
        <v>-3.2624799999999965</v>
      </c>
      <c r="V46" t="s">
        <v>71</v>
      </c>
      <c r="W46" s="3" t="s">
        <v>68</v>
      </c>
      <c r="X46" t="s">
        <v>20</v>
      </c>
      <c r="Y46" t="s">
        <v>21</v>
      </c>
      <c r="Z46" t="s">
        <v>22</v>
      </c>
      <c r="AA46" t="s">
        <v>23</v>
      </c>
    </row>
    <row r="47" spans="3:28" x14ac:dyDescent="0.25">
      <c r="D47" s="9">
        <f>+M14</f>
        <v>267</v>
      </c>
      <c r="F47" s="5">
        <f>+SUM(F43:F46)</f>
        <v>271.356176</v>
      </c>
      <c r="G47" s="29">
        <f>-SUM(G43:G46)</f>
        <v>-2145.2725740000001</v>
      </c>
      <c r="H47" s="30"/>
      <c r="I47" s="31">
        <f>-SUM(I43:I46)</f>
        <v>-336.70086900000001</v>
      </c>
      <c r="J47" s="5"/>
      <c r="W47" s="3" t="s">
        <v>26</v>
      </c>
      <c r="X47" s="23">
        <f>+EXP(X42)</f>
        <v>2.8950981102451632</v>
      </c>
      <c r="Y47" s="6">
        <f t="shared" ref="Y47:AA47" si="13">+EXP(Y42)</f>
        <v>8.9688332935277231</v>
      </c>
      <c r="Z47" s="6">
        <f t="shared" si="13"/>
        <v>19.465298185403949</v>
      </c>
      <c r="AA47" s="6">
        <f t="shared" si="13"/>
        <v>6.3037439836484115</v>
      </c>
      <c r="AB47" s="21"/>
    </row>
    <row r="48" spans="3:28" x14ac:dyDescent="0.25">
      <c r="F48" s="9">
        <f>+D7/F47</f>
        <v>-3.2513717321841975</v>
      </c>
      <c r="I48" s="9"/>
      <c r="M48" t="s">
        <v>36</v>
      </c>
      <c r="W48" s="3" t="s">
        <v>27</v>
      </c>
      <c r="X48" s="6">
        <f>+EXP(X43)</f>
        <v>5.3485050930364118</v>
      </c>
      <c r="Y48" s="6">
        <f t="shared" ref="Y48:AA48" si="14">+EXP(Y43)</f>
        <v>7.0734334604866138</v>
      </c>
      <c r="Z48" s="6">
        <f t="shared" si="14"/>
        <v>6.5536097191077962</v>
      </c>
      <c r="AA48" s="6">
        <f t="shared" si="14"/>
        <v>4.7652817765701725</v>
      </c>
    </row>
    <row r="49" spans="3:27" x14ac:dyDescent="0.25">
      <c r="F49" s="9">
        <f>+F47/D7</f>
        <v>-0.30756249434703142</v>
      </c>
      <c r="M49" t="s">
        <v>73</v>
      </c>
      <c r="N49" t="s">
        <v>74</v>
      </c>
      <c r="W49" s="4" t="s">
        <v>28</v>
      </c>
      <c r="X49" s="6">
        <f t="shared" ref="X49:AA49" si="15">+EXP(X44)</f>
        <v>2.7563953678711677</v>
      </c>
      <c r="Y49" s="6">
        <f t="shared" si="15"/>
        <v>3.9577310741965586</v>
      </c>
      <c r="Z49" s="6">
        <f t="shared" si="15"/>
        <v>3.9811033321046612</v>
      </c>
      <c r="AA49" s="6">
        <f t="shared" si="15"/>
        <v>3.930977135641943</v>
      </c>
    </row>
    <row r="50" spans="3:27" x14ac:dyDescent="0.25">
      <c r="H50" s="9">
        <f>+I50*M28</f>
        <v>0.14828228903145757</v>
      </c>
      <c r="I50">
        <f>+EXP(M28)</f>
        <v>1.1390359764924791</v>
      </c>
      <c r="L50" t="s">
        <v>72</v>
      </c>
      <c r="M50" s="21">
        <f>+M28</f>
        <v>0.13018226999999999</v>
      </c>
      <c r="N50" s="21">
        <f>+N28</f>
        <v>-0.13986209999999999</v>
      </c>
    </row>
    <row r="51" spans="3:27" x14ac:dyDescent="0.25">
      <c r="L51" t="s">
        <v>75</v>
      </c>
      <c r="X51">
        <f>+R37</f>
        <v>0.65091134999999989</v>
      </c>
      <c r="Y51">
        <f>+R38</f>
        <v>0.91127588999999998</v>
      </c>
      <c r="Z51">
        <f>+R39</f>
        <v>1.1716404299999998</v>
      </c>
      <c r="AA51">
        <f>+R40</f>
        <v>0.39054680999999997</v>
      </c>
    </row>
    <row r="52" spans="3:27" x14ac:dyDescent="0.25">
      <c r="C52" t="s">
        <v>95</v>
      </c>
      <c r="L52" t="s">
        <v>76</v>
      </c>
      <c r="M52">
        <f>+M$7</f>
        <v>5</v>
      </c>
      <c r="N52">
        <f>+N$7</f>
        <v>6</v>
      </c>
      <c r="O52" t="s">
        <v>78</v>
      </c>
      <c r="V52">
        <f>+SUM(X52:AA52)</f>
        <v>9.1098527035979515</v>
      </c>
      <c r="W52" t="s">
        <v>69</v>
      </c>
      <c r="X52">
        <f>+EXP(X51)</f>
        <v>1.9172873528747953</v>
      </c>
      <c r="Y52">
        <f t="shared" ref="Y52:AA52" si="16">+EXP(Y51)</f>
        <v>2.4874942786306855</v>
      </c>
      <c r="Z52">
        <f t="shared" si="16"/>
        <v>3.2272824294921758</v>
      </c>
      <c r="AA52">
        <f t="shared" si="16"/>
        <v>1.4777886426002951</v>
      </c>
    </row>
    <row r="53" spans="3:27" x14ac:dyDescent="0.25">
      <c r="C53" s="16" t="s">
        <v>46</v>
      </c>
      <c r="G53" t="s">
        <v>63</v>
      </c>
      <c r="L53" t="s">
        <v>77</v>
      </c>
      <c r="M53" s="9">
        <f>+M52*M50</f>
        <v>0.65091134999999989</v>
      </c>
      <c r="N53" s="9">
        <f>+N52*N50</f>
        <v>-0.83917259999999994</v>
      </c>
      <c r="O53" s="26">
        <f>+M53+N53</f>
        <v>-0.18826125000000005</v>
      </c>
      <c r="P53" t="s">
        <v>80</v>
      </c>
      <c r="W53" t="s">
        <v>70</v>
      </c>
      <c r="X53" s="18">
        <f>+R12</f>
        <v>25</v>
      </c>
      <c r="Y53" s="18">
        <f>+R13</f>
        <v>49</v>
      </c>
      <c r="Z53" s="18">
        <f>+R14</f>
        <v>81</v>
      </c>
      <c r="AA53" s="18">
        <f>+R15</f>
        <v>9</v>
      </c>
    </row>
    <row r="54" spans="3:27" x14ac:dyDescent="0.25">
      <c r="C54" s="4" t="s">
        <v>96</v>
      </c>
      <c r="F54" t="s">
        <v>103</v>
      </c>
      <c r="G54" t="s">
        <v>101</v>
      </c>
      <c r="H54" t="s">
        <v>102</v>
      </c>
      <c r="I54" t="s">
        <v>81</v>
      </c>
      <c r="J54" t="s">
        <v>78</v>
      </c>
      <c r="L54" t="s">
        <v>79</v>
      </c>
      <c r="M54">
        <f>+EXP(M53)</f>
        <v>1.9172873528747953</v>
      </c>
      <c r="N54">
        <f>+EXP(N53)</f>
        <v>0.43206786852944667</v>
      </c>
      <c r="O54">
        <f>+EXP(O53)</f>
        <v>0.82839825991507798</v>
      </c>
      <c r="P54">
        <f>+M54*N54</f>
        <v>0.82839825991507787</v>
      </c>
      <c r="W54" t="s">
        <v>70</v>
      </c>
      <c r="X54">
        <f>+M7</f>
        <v>5</v>
      </c>
      <c r="Y54">
        <f>+M8</f>
        <v>7</v>
      </c>
      <c r="Z54">
        <f>+M9</f>
        <v>9</v>
      </c>
      <c r="AA54">
        <f>+M10</f>
        <v>3</v>
      </c>
    </row>
    <row r="55" spans="3:27" x14ac:dyDescent="0.25">
      <c r="C55" s="3" t="s">
        <v>97</v>
      </c>
      <c r="E55">
        <f>+F55*M7</f>
        <v>14.475486932353629</v>
      </c>
      <c r="F55">
        <f>+EXP(J55)</f>
        <v>2.8950973864707259</v>
      </c>
      <c r="G55" s="9">
        <f t="shared" ref="G55:H58" si="17">+M7*M$28</f>
        <v>0.65091134999999989</v>
      </c>
      <c r="H55" s="9">
        <f t="shared" si="17"/>
        <v>-0.83917259999999994</v>
      </c>
      <c r="I55" s="9">
        <f>+S30</f>
        <v>1.2512799999999999</v>
      </c>
      <c r="J55" s="9">
        <f>+SUM(G55:I55)</f>
        <v>1.0630187499999999</v>
      </c>
      <c r="L55" t="s">
        <v>82</v>
      </c>
      <c r="M55" s="9"/>
      <c r="N55" s="9"/>
      <c r="O55" s="9">
        <f>+X34</f>
        <v>1.2512799999999999</v>
      </c>
      <c r="W55" s="9">
        <f>+SUM(X55:AA55)</f>
        <v>444.52937804704237</v>
      </c>
      <c r="X55" s="9">
        <f>+X52*X53</f>
        <v>47.932183821869884</v>
      </c>
      <c r="Y55" s="9">
        <f>+Y52*Y53</f>
        <v>121.8872196529036</v>
      </c>
      <c r="Z55" s="9">
        <f>+Z52*Z53</f>
        <v>261.40987678886626</v>
      </c>
      <c r="AA55" s="9">
        <f>+AA52*AA53</f>
        <v>13.300097783402656</v>
      </c>
    </row>
    <row r="56" spans="3:27" x14ac:dyDescent="0.25">
      <c r="C56" s="3" t="s">
        <v>98</v>
      </c>
      <c r="E56">
        <f>+F56*M8</f>
        <v>62.781826148692787</v>
      </c>
      <c r="F56">
        <f t="shared" ref="F56:F58" si="18">+EXP(J56)</f>
        <v>8.9688323069561129</v>
      </c>
      <c r="G56" s="9">
        <f t="shared" si="17"/>
        <v>0.91127588999999998</v>
      </c>
      <c r="H56" s="9">
        <f t="shared" si="17"/>
        <v>-0.55944839999999996</v>
      </c>
      <c r="I56" s="9">
        <f>+S31</f>
        <v>1.841928</v>
      </c>
      <c r="J56" s="9">
        <f t="shared" ref="J56:J58" si="19">+SUM(G56:I56)</f>
        <v>2.19375549</v>
      </c>
      <c r="L56" t="s">
        <v>83</v>
      </c>
      <c r="M56" s="9"/>
      <c r="N56" s="9"/>
      <c r="O56" s="9">
        <f>+O53+O55</f>
        <v>1.0630187499999999</v>
      </c>
      <c r="W56" s="9">
        <f>+SUM(X56:AA56)</f>
        <v>2145.273133009543</v>
      </c>
      <c r="X56" s="9">
        <f>+X47*X53</f>
        <v>72.377452756129074</v>
      </c>
      <c r="Y56" s="9">
        <f>+Y47*Y53</f>
        <v>439.47283138285843</v>
      </c>
      <c r="Z56" s="9">
        <f>+Z47*Z53</f>
        <v>1576.6891530177199</v>
      </c>
      <c r="AA56" s="9">
        <f>+AA47*AA53</f>
        <v>56.733695852835702</v>
      </c>
    </row>
    <row r="57" spans="3:27" x14ac:dyDescent="0.25">
      <c r="C57" s="3" t="s">
        <v>100</v>
      </c>
      <c r="E57">
        <f>+F57*M9</f>
        <v>175.18767140549812</v>
      </c>
      <c r="F57">
        <f t="shared" si="18"/>
        <v>19.465296822833125</v>
      </c>
      <c r="G57" s="9">
        <f t="shared" si="17"/>
        <v>1.1716404299999998</v>
      </c>
      <c r="H57" s="9">
        <f t="shared" si="17"/>
        <v>-0.27972419999999998</v>
      </c>
      <c r="I57" s="9">
        <f>+S32</f>
        <v>2.0767169999999999</v>
      </c>
      <c r="J57" s="9">
        <f t="shared" si="19"/>
        <v>2.96863323</v>
      </c>
      <c r="L57" t="s">
        <v>79</v>
      </c>
      <c r="O57" s="24">
        <f>+EXP(O56)</f>
        <v>2.8950973864707259</v>
      </c>
      <c r="P57" t="s">
        <v>84</v>
      </c>
      <c r="W57" s="9">
        <f>+SUM(X57:AA57)</f>
        <v>271.35623922550064</v>
      </c>
      <c r="X57">
        <f>+X47*X54</f>
        <v>14.475490551225816</v>
      </c>
      <c r="Y57">
        <f t="shared" ref="Y57:AA57" si="20">+Y47*Y54</f>
        <v>62.781833054694062</v>
      </c>
      <c r="Z57">
        <f t="shared" si="20"/>
        <v>175.18768366863554</v>
      </c>
      <c r="AA57">
        <f t="shared" si="20"/>
        <v>18.911231950945236</v>
      </c>
    </row>
    <row r="58" spans="3:27" x14ac:dyDescent="0.25">
      <c r="C58" s="3" t="s">
        <v>99</v>
      </c>
      <c r="E58">
        <f>+F58*M10</f>
        <v>18.911231383608282</v>
      </c>
      <c r="F58">
        <f t="shared" si="18"/>
        <v>6.3037437945360946</v>
      </c>
      <c r="G58" s="9">
        <f t="shared" si="17"/>
        <v>0.39054680999999997</v>
      </c>
      <c r="H58" s="9">
        <f t="shared" si="17"/>
        <v>-0.13986209999999999</v>
      </c>
      <c r="I58" s="9">
        <f>+S33</f>
        <v>1.5904590000000001</v>
      </c>
      <c r="J58" s="9">
        <f t="shared" si="19"/>
        <v>1.8411437100000001</v>
      </c>
    </row>
    <row r="59" spans="3:27" x14ac:dyDescent="0.25">
      <c r="C59" s="3"/>
      <c r="E59">
        <f>+SUM(E55:E58)</f>
        <v>271.35621587015282</v>
      </c>
    </row>
    <row r="60" spans="3:27" x14ac:dyDescent="0.25">
      <c r="C60" s="3"/>
      <c r="L60" t="s">
        <v>85</v>
      </c>
      <c r="M60" s="27">
        <v>0.01</v>
      </c>
      <c r="N60">
        <v>0</v>
      </c>
    </row>
    <row r="61" spans="3:27" x14ac:dyDescent="0.25">
      <c r="L61" t="s">
        <v>72</v>
      </c>
      <c r="M61" s="28">
        <f>+M50+M60</f>
        <v>0.14018227</v>
      </c>
      <c r="N61" s="21">
        <f>+N50+N60</f>
        <v>-0.13986209999999999</v>
      </c>
    </row>
    <row r="62" spans="3:27" x14ac:dyDescent="0.25">
      <c r="L62" t="s">
        <v>75</v>
      </c>
    </row>
    <row r="63" spans="3:27" x14ac:dyDescent="0.25">
      <c r="L63" t="s">
        <v>76</v>
      </c>
      <c r="M63">
        <f>+M$7</f>
        <v>5</v>
      </c>
      <c r="N63">
        <f>+N$7</f>
        <v>6</v>
      </c>
      <c r="O63" t="s">
        <v>78</v>
      </c>
    </row>
    <row r="64" spans="3:27" x14ac:dyDescent="0.25">
      <c r="L64" t="s">
        <v>77</v>
      </c>
      <c r="M64" s="9">
        <f>+M63*M61</f>
        <v>0.70091134999999993</v>
      </c>
      <c r="N64" s="9">
        <f>+N63*N61</f>
        <v>-0.83917259999999994</v>
      </c>
      <c r="O64" s="26">
        <f>+M64+N64</f>
        <v>-0.13826125</v>
      </c>
      <c r="P64" t="s">
        <v>80</v>
      </c>
    </row>
    <row r="65" spans="12:20" x14ac:dyDescent="0.25">
      <c r="L65" t="s">
        <v>79</v>
      </c>
      <c r="M65">
        <f>+EXP(M64)</f>
        <v>2.0155887775245711</v>
      </c>
      <c r="N65">
        <f>+EXP(N64)</f>
        <v>0.43206786852944667</v>
      </c>
      <c r="O65">
        <f>+EXP(O64)</f>
        <v>0.87087114693691459</v>
      </c>
      <c r="P65">
        <f>+M65*N65</f>
        <v>0.87087114693691459</v>
      </c>
    </row>
    <row r="66" spans="12:20" x14ac:dyDescent="0.25">
      <c r="L66" t="s">
        <v>82</v>
      </c>
      <c r="M66" s="9"/>
      <c r="N66" s="9"/>
      <c r="O66" s="9">
        <f>+X34</f>
        <v>1.2512799999999999</v>
      </c>
    </row>
    <row r="67" spans="12:20" x14ac:dyDescent="0.25">
      <c r="L67" t="s">
        <v>83</v>
      </c>
      <c r="M67" s="9"/>
      <c r="N67" s="9"/>
      <c r="O67" s="9">
        <f>+O64+O66</f>
        <v>1.1130187499999999</v>
      </c>
      <c r="P67" s="9">
        <f>+O67-O56</f>
        <v>5.0000000000000044E-2</v>
      </c>
    </row>
    <row r="68" spans="12:20" x14ac:dyDescent="0.25">
      <c r="L68" t="s">
        <v>79</v>
      </c>
      <c r="O68" s="24">
        <f>+EXP(O67)</f>
        <v>3.0435322035904422</v>
      </c>
      <c r="P68" t="s">
        <v>84</v>
      </c>
      <c r="S68" t="s">
        <v>88</v>
      </c>
    </row>
    <row r="69" spans="12:20" x14ac:dyDescent="0.25">
      <c r="N69" t="s">
        <v>85</v>
      </c>
      <c r="O69">
        <f>+O68-O57</f>
        <v>0.14843481711971629</v>
      </c>
    </row>
    <row r="70" spans="12:20" x14ac:dyDescent="0.25">
      <c r="L70" s="7">
        <f>+EXP(O67)-EXP(O56)</f>
        <v>0.14843481711971629</v>
      </c>
      <c r="N70" t="s">
        <v>86</v>
      </c>
      <c r="O70">
        <f>+M7</f>
        <v>5</v>
      </c>
      <c r="T70" t="s">
        <v>89</v>
      </c>
    </row>
    <row r="71" spans="12:20" x14ac:dyDescent="0.25">
      <c r="O71">
        <f>+O70*O69</f>
        <v>0.74217408559858145</v>
      </c>
    </row>
    <row r="72" spans="12:20" x14ac:dyDescent="0.25">
      <c r="N72" t="s">
        <v>87</v>
      </c>
      <c r="O72">
        <f>1/M60*O71</f>
        <v>74.217408559858143</v>
      </c>
    </row>
    <row r="74" spans="12:20" x14ac:dyDescent="0.25">
      <c r="O74" t="s">
        <v>90</v>
      </c>
    </row>
    <row r="75" spans="12:20" x14ac:dyDescent="0.25">
      <c r="O75" t="s">
        <v>91</v>
      </c>
      <c r="S75" t="s">
        <v>92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58B8-BD10-4D33-8F57-18C5D50BE10C}">
  <dimension ref="C1:D7"/>
  <sheetViews>
    <sheetView workbookViewId="0">
      <selection activeCell="D7" sqref="D7"/>
    </sheetView>
  </sheetViews>
  <sheetFormatPr defaultRowHeight="15" x14ac:dyDescent="0.25"/>
  <cols>
    <col min="4" max="4" width="74.7109375" customWidth="1"/>
  </cols>
  <sheetData>
    <row r="1" spans="3:4" x14ac:dyDescent="0.25">
      <c r="C1" s="16" t="s">
        <v>120</v>
      </c>
      <c r="D1" t="s">
        <v>121</v>
      </c>
    </row>
    <row r="3" spans="3:4" ht="60" x14ac:dyDescent="0.25">
      <c r="D3" s="32" t="s">
        <v>122</v>
      </c>
    </row>
    <row r="4" spans="3:4" ht="30" x14ac:dyDescent="0.25">
      <c r="D4" s="32" t="s">
        <v>123</v>
      </c>
    </row>
    <row r="5" spans="3:4" ht="75" x14ac:dyDescent="0.25">
      <c r="D5" s="32" t="s">
        <v>124</v>
      </c>
    </row>
    <row r="7" spans="3:4" x14ac:dyDescent="0.25">
      <c r="D7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A7B8-ADEE-43D5-A5BB-8C986D842157}">
  <dimension ref="B2:K27"/>
  <sheetViews>
    <sheetView workbookViewId="0">
      <selection activeCell="F22" sqref="F22"/>
    </sheetView>
  </sheetViews>
  <sheetFormatPr defaultRowHeight="15" x14ac:dyDescent="0.25"/>
  <sheetData>
    <row r="2" spans="2:11" x14ac:dyDescent="0.25">
      <c r="C2" t="s">
        <v>33</v>
      </c>
      <c r="D2" t="s">
        <v>36</v>
      </c>
      <c r="G2" t="s">
        <v>117</v>
      </c>
      <c r="K2" t="s">
        <v>116</v>
      </c>
    </row>
    <row r="3" spans="2:11" x14ac:dyDescent="0.25">
      <c r="C3" s="3"/>
      <c r="D3" t="s">
        <v>20</v>
      </c>
      <c r="E3" t="s">
        <v>21</v>
      </c>
      <c r="G3">
        <v>1</v>
      </c>
      <c r="H3">
        <v>2</v>
      </c>
    </row>
    <row r="4" spans="2:11" x14ac:dyDescent="0.25">
      <c r="B4" t="s">
        <v>37</v>
      </c>
      <c r="C4" s="3" t="s">
        <v>26</v>
      </c>
      <c r="D4" s="13">
        <v>5</v>
      </c>
      <c r="E4">
        <v>6</v>
      </c>
      <c r="G4" s="34">
        <f>+D4*D4</f>
        <v>25</v>
      </c>
      <c r="H4" s="34">
        <f t="shared" ref="H4:H7" si="0">+E4*E4</f>
        <v>36</v>
      </c>
    </row>
    <row r="5" spans="2:11" x14ac:dyDescent="0.25">
      <c r="B5" t="s">
        <v>37</v>
      </c>
      <c r="C5" s="3" t="s">
        <v>27</v>
      </c>
      <c r="D5" s="13">
        <v>7</v>
      </c>
      <c r="E5">
        <v>4</v>
      </c>
      <c r="G5" s="34">
        <f t="shared" ref="G5:G7" si="1">+D5*D5</f>
        <v>49</v>
      </c>
      <c r="H5" s="34">
        <f t="shared" si="0"/>
        <v>16</v>
      </c>
    </row>
    <row r="6" spans="2:11" x14ac:dyDescent="0.25">
      <c r="B6" t="s">
        <v>37</v>
      </c>
      <c r="C6" s="3" t="s">
        <v>28</v>
      </c>
      <c r="D6" s="13">
        <v>9</v>
      </c>
      <c r="E6">
        <v>2</v>
      </c>
      <c r="G6" s="34">
        <f t="shared" si="1"/>
        <v>81</v>
      </c>
      <c r="H6" s="34">
        <f t="shared" si="0"/>
        <v>4</v>
      </c>
    </row>
    <row r="7" spans="2:11" x14ac:dyDescent="0.25">
      <c r="B7" t="s">
        <v>37</v>
      </c>
      <c r="C7" s="4" t="s">
        <v>29</v>
      </c>
      <c r="D7" s="13">
        <v>3</v>
      </c>
      <c r="E7">
        <v>1</v>
      </c>
      <c r="G7" s="34">
        <f t="shared" si="1"/>
        <v>9</v>
      </c>
      <c r="H7" s="34">
        <f t="shared" si="0"/>
        <v>1</v>
      </c>
    </row>
    <row r="10" spans="2:11" x14ac:dyDescent="0.25">
      <c r="C10" t="s">
        <v>34</v>
      </c>
      <c r="D10" t="s">
        <v>35</v>
      </c>
    </row>
    <row r="11" spans="2:11" x14ac:dyDescent="0.25">
      <c r="C11" s="3"/>
      <c r="D11" t="s">
        <v>20</v>
      </c>
      <c r="E11" t="s">
        <v>21</v>
      </c>
      <c r="F11" t="s">
        <v>22</v>
      </c>
    </row>
    <row r="12" spans="2:11" x14ac:dyDescent="0.25">
      <c r="B12" t="s">
        <v>37</v>
      </c>
      <c r="C12" s="3" t="s">
        <v>26</v>
      </c>
      <c r="D12" s="23">
        <v>2.8950979999999999</v>
      </c>
      <c r="E12" s="7">
        <v>5.3485060000000004</v>
      </c>
      <c r="F12" s="7">
        <v>2.7563960000000001</v>
      </c>
    </row>
    <row r="13" spans="2:11" x14ac:dyDescent="0.25">
      <c r="B13" t="s">
        <v>37</v>
      </c>
      <c r="C13" s="3" t="s">
        <v>27</v>
      </c>
      <c r="D13" s="12">
        <v>8.9688339999999993</v>
      </c>
      <c r="E13" s="7">
        <v>7.0734339999999998</v>
      </c>
      <c r="F13" s="7">
        <v>3.9577309999999999</v>
      </c>
    </row>
    <row r="14" spans="2:11" x14ac:dyDescent="0.25">
      <c r="B14" t="s">
        <v>37</v>
      </c>
      <c r="C14" s="3" t="s">
        <v>28</v>
      </c>
      <c r="D14" s="12">
        <v>19.465291000000001</v>
      </c>
      <c r="E14" s="7">
        <v>6.5536070000000004</v>
      </c>
      <c r="F14" s="7">
        <v>3.9811019999999999</v>
      </c>
    </row>
    <row r="15" spans="2:11" x14ac:dyDescent="0.25">
      <c r="B15" t="s">
        <v>37</v>
      </c>
      <c r="C15" s="4" t="s">
        <v>29</v>
      </c>
      <c r="D15" s="12">
        <v>6.3037429999999999</v>
      </c>
      <c r="E15" s="7">
        <v>4.7652809999999999</v>
      </c>
      <c r="F15" s="7">
        <v>3.9309759999999998</v>
      </c>
    </row>
    <row r="17" spans="2:11" x14ac:dyDescent="0.25">
      <c r="F17" t="s">
        <v>46</v>
      </c>
      <c r="G17" t="s">
        <v>96</v>
      </c>
      <c r="H17" t="s">
        <v>97</v>
      </c>
      <c r="I17" t="s">
        <v>98</v>
      </c>
      <c r="J17" t="s">
        <v>100</v>
      </c>
      <c r="K17" t="s">
        <v>99</v>
      </c>
    </row>
    <row r="18" spans="2:11" x14ac:dyDescent="0.25">
      <c r="E18" t="s">
        <v>115</v>
      </c>
      <c r="F18">
        <v>1</v>
      </c>
      <c r="G18">
        <v>2</v>
      </c>
      <c r="H18">
        <v>3</v>
      </c>
      <c r="I18">
        <v>4</v>
      </c>
      <c r="J18">
        <v>5</v>
      </c>
      <c r="K18">
        <v>6</v>
      </c>
    </row>
    <row r="19" spans="2:11" x14ac:dyDescent="0.25">
      <c r="E19" t="s">
        <v>113</v>
      </c>
      <c r="F19">
        <v>1</v>
      </c>
      <c r="G19">
        <v>2</v>
      </c>
      <c r="H19">
        <v>3</v>
      </c>
      <c r="I19">
        <v>1</v>
      </c>
      <c r="J19">
        <v>2</v>
      </c>
      <c r="K19">
        <v>3</v>
      </c>
    </row>
    <row r="20" spans="2:11" x14ac:dyDescent="0.25">
      <c r="E20" t="s">
        <v>114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</row>
    <row r="21" spans="2:11" x14ac:dyDescent="0.25">
      <c r="C21" t="s">
        <v>112</v>
      </c>
      <c r="D21" t="s">
        <v>113</v>
      </c>
      <c r="E21" t="s">
        <v>114</v>
      </c>
    </row>
    <row r="22" spans="2:11" x14ac:dyDescent="0.25">
      <c r="B22" t="s">
        <v>46</v>
      </c>
      <c r="C22">
        <v>1</v>
      </c>
      <c r="D22">
        <v>1</v>
      </c>
      <c r="E22">
        <v>1</v>
      </c>
      <c r="F22" s="33" cm="1">
        <f t="array" ref="F22">+SUM($D$12:$D$15*$G$4:$G$7)</f>
        <v>2145.2725740000001</v>
      </c>
      <c r="G22" s="33"/>
      <c r="H22" s="33"/>
      <c r="I22" s="33"/>
      <c r="J22" s="33"/>
      <c r="K22" s="33"/>
    </row>
    <row r="23" spans="2:11" x14ac:dyDescent="0.25">
      <c r="B23" t="s">
        <v>96</v>
      </c>
      <c r="C23">
        <v>2</v>
      </c>
      <c r="D23">
        <v>2</v>
      </c>
      <c r="E23">
        <v>1</v>
      </c>
      <c r="F23" s="33"/>
      <c r="G23" s="33"/>
      <c r="H23" s="33"/>
      <c r="I23" s="33"/>
      <c r="J23" s="33"/>
      <c r="K23" s="33"/>
    </row>
    <row r="24" spans="2:11" x14ac:dyDescent="0.25">
      <c r="B24" t="s">
        <v>97</v>
      </c>
      <c r="C24">
        <v>3</v>
      </c>
      <c r="D24">
        <v>3</v>
      </c>
      <c r="E24">
        <v>1</v>
      </c>
      <c r="F24" s="33"/>
      <c r="G24" s="33"/>
      <c r="H24" s="33"/>
      <c r="I24" s="33"/>
      <c r="J24" s="33"/>
      <c r="K24" s="33"/>
    </row>
    <row r="25" spans="2:11" x14ac:dyDescent="0.25">
      <c r="B25" t="s">
        <v>98</v>
      </c>
      <c r="C25">
        <v>4</v>
      </c>
      <c r="D25">
        <v>1</v>
      </c>
      <c r="E25">
        <v>2</v>
      </c>
      <c r="F25" s="33"/>
      <c r="G25" s="33"/>
      <c r="H25" s="33"/>
      <c r="I25" s="33"/>
      <c r="J25" s="33"/>
      <c r="K25" s="33"/>
    </row>
    <row r="26" spans="2:11" x14ac:dyDescent="0.25">
      <c r="B26" t="s">
        <v>100</v>
      </c>
      <c r="C26">
        <v>5</v>
      </c>
      <c r="D26">
        <v>2</v>
      </c>
      <c r="E26">
        <v>2</v>
      </c>
      <c r="F26" s="33"/>
      <c r="G26" s="33"/>
      <c r="H26" s="33"/>
      <c r="I26" s="33"/>
      <c r="J26" s="33"/>
      <c r="K26" s="33"/>
    </row>
    <row r="27" spans="2:11" x14ac:dyDescent="0.25">
      <c r="B27" t="s">
        <v>99</v>
      </c>
      <c r="C27">
        <v>6</v>
      </c>
      <c r="D27">
        <v>3</v>
      </c>
      <c r="E27">
        <v>2</v>
      </c>
      <c r="F27" s="33"/>
      <c r="G27" s="33"/>
      <c r="H27" s="33"/>
      <c r="I27" s="33"/>
      <c r="J27" s="33"/>
      <c r="K27" s="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2AC3-783C-4D5D-BC14-BECDE26BC054}">
  <dimension ref="B14:B17"/>
  <sheetViews>
    <sheetView topLeftCell="A11" workbookViewId="0">
      <selection activeCell="B17" sqref="B17"/>
    </sheetView>
  </sheetViews>
  <sheetFormatPr defaultRowHeight="15" x14ac:dyDescent="0.25"/>
  <cols>
    <col min="2" max="2" width="133" customWidth="1"/>
  </cols>
  <sheetData>
    <row r="14" spans="2:2" ht="105" x14ac:dyDescent="0.25">
      <c r="B14" s="32" t="s">
        <v>109</v>
      </c>
    </row>
    <row r="15" spans="2:2" ht="90" x14ac:dyDescent="0.25">
      <c r="B15" s="32" t="s">
        <v>110</v>
      </c>
    </row>
    <row r="17" spans="2:2" ht="90" x14ac:dyDescent="0.25">
      <c r="B17" s="32" t="s">
        <v>111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D926-02E0-4949-B6C7-A07811B5E21F}">
  <dimension ref="J2:Q6"/>
  <sheetViews>
    <sheetView workbookViewId="0">
      <selection activeCell="N3" sqref="N3"/>
    </sheetView>
  </sheetViews>
  <sheetFormatPr defaultRowHeight="15" x14ac:dyDescent="0.25"/>
  <sheetData>
    <row r="2" spans="10:17" x14ac:dyDescent="0.25">
      <c r="J2" t="s">
        <v>0</v>
      </c>
      <c r="M2" t="s">
        <v>6</v>
      </c>
      <c r="N2" t="s">
        <v>4</v>
      </c>
    </row>
    <row r="3" spans="10:17" x14ac:dyDescent="0.25">
      <c r="J3" t="s">
        <v>1</v>
      </c>
      <c r="M3" t="s">
        <v>6</v>
      </c>
      <c r="N3" t="s">
        <v>5</v>
      </c>
      <c r="Q3" t="s">
        <v>10</v>
      </c>
    </row>
    <row r="4" spans="10:17" x14ac:dyDescent="0.25">
      <c r="J4" t="s">
        <v>3</v>
      </c>
    </row>
    <row r="5" spans="10:17" x14ac:dyDescent="0.25">
      <c r="J5" t="s">
        <v>2</v>
      </c>
      <c r="M5" t="s">
        <v>7</v>
      </c>
      <c r="N5" t="s">
        <v>9</v>
      </c>
    </row>
    <row r="6" spans="10:17" x14ac:dyDescent="0.25">
      <c r="M6" t="s">
        <v>7</v>
      </c>
      <c r="N6" t="s">
        <v>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9E3C-AF6C-4B9E-B564-2AC554AED4E0}">
  <dimension ref="B2:J13"/>
  <sheetViews>
    <sheetView workbookViewId="0">
      <selection activeCell="J22" sqref="J22"/>
    </sheetView>
  </sheetViews>
  <sheetFormatPr defaultRowHeight="15" x14ac:dyDescent="0.25"/>
  <sheetData>
    <row r="2" spans="2:10" x14ac:dyDescent="0.25">
      <c r="B2" t="s">
        <v>15</v>
      </c>
    </row>
    <row r="3" spans="2:10" x14ac:dyDescent="0.25">
      <c r="B3" s="1" t="s">
        <v>16</v>
      </c>
    </row>
    <row r="5" spans="2:10" x14ac:dyDescent="0.25">
      <c r="J5" t="s">
        <v>11</v>
      </c>
    </row>
    <row r="6" spans="2:10" x14ac:dyDescent="0.25">
      <c r="J6" t="s">
        <v>12</v>
      </c>
    </row>
    <row r="7" spans="2:10" x14ac:dyDescent="0.25">
      <c r="J7" t="s">
        <v>13</v>
      </c>
    </row>
    <row r="8" spans="2:10" x14ac:dyDescent="0.25">
      <c r="J8" t="s">
        <v>14</v>
      </c>
    </row>
    <row r="11" spans="2:10" x14ac:dyDescent="0.25">
      <c r="B11" t="s">
        <v>17</v>
      </c>
    </row>
    <row r="12" spans="2:10" x14ac:dyDescent="0.25">
      <c r="J12" t="s">
        <v>18</v>
      </c>
    </row>
    <row r="13" spans="2:10" x14ac:dyDescent="0.25">
      <c r="J13" t="s">
        <v>19</v>
      </c>
    </row>
  </sheetData>
  <hyperlinks>
    <hyperlink ref="B3" r:id="rId1" display="https://www.symbolab.com/solver/partial-derivative-calculator/%5Cfrac%7B%5Cpartial%7D%7B%5Cpartial x%7D%5Cleft(%5Cleft(t - e%5E%7B%5Cleft(xa%2Bd%5Cright)%7Da%5Cright)%5E%7B2%7D %2B %5Cleft(u-e%5E%7B%5Cleft(ya%2Bd%5Cright)%7Da%5Cright)%5E%7B2%7D%5Cright)" xr:uid="{DC9CD15E-71FD-47D6-B9D6-2F91DC88A5E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jac_new</vt:lpstr>
      <vt:lpstr>sse_gradient</vt:lpstr>
      <vt:lpstr>scaling</vt:lpstr>
      <vt:lpstr>Sheet1</vt:lpstr>
      <vt:lpstr>jacobian</vt:lpstr>
      <vt:lpstr>Sheet6</vt:lpstr>
      <vt:lpstr>Sheet5</vt:lpstr>
      <vt:lpstr>gradient_sse</vt:lpstr>
      <vt:lpstr>derivs</vt:lpstr>
      <vt:lpstr>partials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2020-05-28T09:45:41Z</dcterms:created>
  <dcterms:modified xsi:type="dcterms:W3CDTF">2020-06-06T12:26:25Z</dcterms:modified>
</cp:coreProperties>
</file>