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67F60C98410AE83F/"/>
    </mc:Choice>
  </mc:AlternateContent>
  <xr:revisionPtr revIDLastSave="0" documentId="8_{AC062F2D-5296-4BA8-AF93-B1A49A240F35}" xr6:coauthVersionLast="47" xr6:coauthVersionMax="47" xr10:uidLastSave="{00000000-0000-0000-0000-000000000000}"/>
  <bookViews>
    <workbookView xWindow="240" yWindow="760" windowWidth="14800" windowHeight="8020" firstSheet="2" xr2:uid="{00000000-000D-0000-FFFF-FFFF00000000}"/>
  </bookViews>
  <sheets>
    <sheet name="Start Up and Sales" sheetId="1" r:id="rId1"/>
    <sheet name="Financial Statements" sheetId="2" r:id="rId2"/>
    <sheet name="LB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K57" i="3"/>
  <c r="H9" i="2"/>
  <c r="B6" i="1"/>
  <c r="J60" i="3"/>
  <c r="O59" i="3"/>
  <c r="L59" i="3"/>
  <c r="K59" i="3"/>
  <c r="K60" i="3"/>
  <c r="L61" i="3"/>
  <c r="K61" i="3"/>
  <c r="O60" i="3"/>
  <c r="N60" i="3"/>
  <c r="M60" i="3"/>
  <c r="L60" i="3"/>
  <c r="J59" i="3"/>
  <c r="K36" i="3"/>
  <c r="J12" i="3"/>
  <c r="J10" i="3"/>
  <c r="J11" i="3"/>
  <c r="O99" i="3"/>
  <c r="K50" i="3"/>
  <c r="L50" i="3" s="1"/>
  <c r="M50" i="3" s="1"/>
  <c r="N50" i="3" s="1"/>
  <c r="O50" i="3" s="1"/>
  <c r="J63" i="3"/>
  <c r="J56" i="3"/>
  <c r="L36" i="3"/>
  <c r="M36" i="3"/>
  <c r="N36" i="3"/>
  <c r="O36" i="3"/>
  <c r="F25" i="3"/>
  <c r="E10" i="3"/>
  <c r="M23" i="3" s="1"/>
  <c r="J8" i="3"/>
  <c r="J35" i="3" s="1"/>
  <c r="H5" i="2"/>
  <c r="E11" i="1"/>
  <c r="B16" i="1"/>
  <c r="B21" i="1"/>
  <c r="M21" i="1"/>
  <c r="L21" i="1"/>
  <c r="K21" i="1"/>
  <c r="J21" i="1"/>
  <c r="I21" i="1"/>
  <c r="H21" i="1"/>
  <c r="G21" i="1"/>
  <c r="F21" i="1"/>
  <c r="E21" i="1"/>
  <c r="L19" i="2"/>
  <c r="D9" i="2"/>
  <c r="D11" i="2" s="1"/>
  <c r="D12" i="2" s="1"/>
  <c r="D8" i="2"/>
  <c r="H10" i="2"/>
  <c r="K6" i="2" s="1"/>
  <c r="D17" i="2"/>
  <c r="D19" i="2" s="1"/>
  <c r="L9" i="1"/>
  <c r="L11" i="1" s="1"/>
  <c r="L14" i="1" s="1"/>
  <c r="M9" i="1"/>
  <c r="M11" i="1" s="1"/>
  <c r="M14" i="1" s="1"/>
  <c r="N9" i="1"/>
  <c r="N11" i="1" s="1"/>
  <c r="N14" i="1" s="1"/>
  <c r="O9" i="1"/>
  <c r="O11" i="1" s="1"/>
  <c r="O14" i="1" s="1"/>
  <c r="P9" i="1"/>
  <c r="P11" i="1" s="1"/>
  <c r="P14" i="1" s="1"/>
  <c r="Q9" i="1"/>
  <c r="Q11" i="1" s="1"/>
  <c r="Q14" i="1" s="1"/>
  <c r="R9" i="1"/>
  <c r="R11" i="1" s="1"/>
  <c r="R14" i="1" s="1"/>
  <c r="S9" i="1"/>
  <c r="S11" i="1" s="1"/>
  <c r="S14" i="1" s="1"/>
  <c r="U9" i="1"/>
  <c r="U11" i="1" s="1"/>
  <c r="V9" i="1"/>
  <c r="V11" i="1" s="1"/>
  <c r="V14" i="1" s="1"/>
  <c r="W9" i="1"/>
  <c r="W11" i="1" s="1"/>
  <c r="W14" i="1" s="1"/>
  <c r="X9" i="1"/>
  <c r="X11" i="1" s="1"/>
  <c r="X14" i="1" s="1"/>
  <c r="Y9" i="1"/>
  <c r="Y11" i="1" s="1"/>
  <c r="Y14" i="1" s="1"/>
  <c r="Z9" i="1"/>
  <c r="Z11" i="1" s="1"/>
  <c r="Z14" i="1" s="1"/>
  <c r="K9" i="1"/>
  <c r="K11" i="1" s="1"/>
  <c r="F9" i="1"/>
  <c r="F11" i="1" s="1"/>
  <c r="F14" i="1" s="1"/>
  <c r="G9" i="1"/>
  <c r="G11" i="1" s="1"/>
  <c r="G14" i="1" s="1"/>
  <c r="H9" i="1"/>
  <c r="H11" i="1" s="1"/>
  <c r="H14" i="1" s="1"/>
  <c r="I9" i="1"/>
  <c r="I11" i="1" s="1"/>
  <c r="I14" i="1" s="1"/>
  <c r="E14" i="1" l="1"/>
  <c r="K35" i="3"/>
  <c r="L35" i="3" s="1"/>
  <c r="M35" i="3" s="1"/>
  <c r="N35" i="3" s="1"/>
  <c r="O35" i="3" s="1"/>
  <c r="O57" i="3"/>
  <c r="O56" i="3" s="1"/>
  <c r="O68" i="3" s="1"/>
  <c r="N57" i="3"/>
  <c r="N56" i="3" s="1"/>
  <c r="N68" i="3" s="1"/>
  <c r="M57" i="3"/>
  <c r="M56" i="3" s="1"/>
  <c r="M68" i="3" s="1"/>
  <c r="L57" i="3"/>
  <c r="L56" i="3" s="1"/>
  <c r="L68" i="3" s="1"/>
  <c r="K56" i="3"/>
  <c r="K68" i="3" s="1"/>
  <c r="J57" i="3"/>
  <c r="J64" i="3"/>
  <c r="J20" i="1"/>
  <c r="I20" i="1"/>
  <c r="H20" i="1"/>
  <c r="G20" i="1"/>
  <c r="F20" i="1"/>
  <c r="E20" i="1"/>
  <c r="B20" i="1" s="1"/>
  <c r="B18" i="1"/>
  <c r="K14" i="1"/>
  <c r="M20" i="1"/>
  <c r="L20" i="1"/>
  <c r="K20" i="1"/>
  <c r="U14" i="1"/>
  <c r="E22" i="1"/>
  <c r="F22" i="1"/>
  <c r="G22" i="1"/>
  <c r="H22" i="1"/>
  <c r="I22" i="1"/>
  <c r="J22" i="1"/>
  <c r="K22" i="1"/>
  <c r="M22" i="1"/>
  <c r="L22" i="1"/>
  <c r="B13" i="1"/>
  <c r="L63" i="3" l="1"/>
  <c r="M63" i="3"/>
  <c r="N63" i="3"/>
  <c r="O63" i="3"/>
  <c r="K63" i="3"/>
  <c r="K70" i="3"/>
  <c r="L70" i="3"/>
  <c r="M59" i="3"/>
  <c r="M61" i="3" s="1"/>
  <c r="M70" i="3" s="1"/>
  <c r="N59" i="3"/>
  <c r="N61" i="3" s="1"/>
  <c r="N70" i="3" s="1"/>
  <c r="O61" i="3"/>
  <c r="O70" i="3" s="1"/>
  <c r="H6" i="2"/>
  <c r="H7" i="2" s="1"/>
  <c r="H11" i="2" s="1"/>
  <c r="J9" i="3" s="1"/>
  <c r="J41" i="3" s="1"/>
  <c r="B22" i="1"/>
  <c r="B17" i="1"/>
  <c r="H13" i="2"/>
  <c r="H14" i="2" s="1"/>
  <c r="H15" i="2"/>
  <c r="D21" i="2" s="1"/>
  <c r="D22" i="2" s="1"/>
  <c r="D23" i="2" s="1"/>
  <c r="K5" i="2"/>
  <c r="L11" i="2" s="1"/>
  <c r="L20" i="2" s="1"/>
  <c r="K46" i="3" l="1"/>
  <c r="J42" i="3"/>
  <c r="K64" i="3"/>
  <c r="K69" i="3"/>
  <c r="O64" i="3"/>
  <c r="O69" i="3"/>
  <c r="N64" i="3"/>
  <c r="N69" i="3"/>
  <c r="M64" i="3"/>
  <c r="M69" i="3"/>
  <c r="L64" i="3"/>
  <c r="L69" i="3"/>
  <c r="J38" i="3"/>
  <c r="J39" i="3" s="1"/>
  <c r="K39" i="3" s="1"/>
  <c r="N26" i="3"/>
  <c r="E23" i="3"/>
  <c r="E24" i="3"/>
  <c r="E7" i="3"/>
  <c r="E9" i="3" s="1"/>
  <c r="E11" i="3" s="1"/>
  <c r="M24" i="3" s="1"/>
  <c r="N23" i="3"/>
  <c r="J81" i="3" l="1"/>
  <c r="E25" i="3"/>
  <c r="O84" i="3"/>
  <c r="N84" i="3"/>
  <c r="M84" i="3"/>
  <c r="L84" i="3"/>
  <c r="K84" i="3"/>
  <c r="J88" i="3"/>
  <c r="J94" i="3" s="1"/>
  <c r="K78" i="3"/>
  <c r="K91" i="3" s="1"/>
  <c r="O78" i="3"/>
  <c r="O91" i="3" s="1"/>
  <c r="N78" i="3"/>
  <c r="N91" i="3" s="1"/>
  <c r="M78" i="3"/>
  <c r="M91" i="3" s="1"/>
  <c r="L78" i="3"/>
  <c r="L91" i="3" s="1"/>
  <c r="K49" i="3"/>
  <c r="K52" i="3" s="1"/>
  <c r="K47" i="3"/>
  <c r="N24" i="3"/>
  <c r="N29" i="3" s="1" a="1"/>
  <c r="N29" i="3" s="1"/>
  <c r="F29" i="3" s="1"/>
  <c r="M29" i="3"/>
  <c r="L39" i="3"/>
  <c r="K38" i="3"/>
  <c r="K41" i="3" s="1"/>
  <c r="L85" i="3" l="1"/>
  <c r="M85" i="3"/>
  <c r="N85" i="3"/>
  <c r="O85" i="3"/>
  <c r="K85" i="3"/>
  <c r="K42" i="3"/>
  <c r="K67" i="3"/>
  <c r="K71" i="3" s="1"/>
  <c r="K53" i="3"/>
  <c r="L79" i="3"/>
  <c r="L92" i="3" s="1"/>
  <c r="L44" i="3" s="1"/>
  <c r="M79" i="3"/>
  <c r="M92" i="3" s="1"/>
  <c r="M44" i="3" s="1"/>
  <c r="N79" i="3"/>
  <c r="N92" i="3" s="1"/>
  <c r="N44" i="3" s="1"/>
  <c r="O79" i="3"/>
  <c r="O92" i="3" s="1"/>
  <c r="O44" i="3" s="1"/>
  <c r="K79" i="3"/>
  <c r="K92" i="3" s="1"/>
  <c r="K44" i="3" s="1"/>
  <c r="L46" i="3" s="1"/>
  <c r="M39" i="3"/>
  <c r="L38" i="3"/>
  <c r="L41" i="3" s="1"/>
  <c r="O26" i="3"/>
  <c r="O29" i="3"/>
  <c r="E29" i="3"/>
  <c r="G24" i="3" s="1"/>
  <c r="O23" i="3"/>
  <c r="O24" i="3"/>
  <c r="M46" i="3" l="1"/>
  <c r="L42" i="3"/>
  <c r="K80" i="3"/>
  <c r="L49" i="3"/>
  <c r="L52" i="3" s="1"/>
  <c r="L47" i="3"/>
  <c r="G29" i="3"/>
  <c r="E27" i="3"/>
  <c r="O104" i="3" s="1"/>
  <c r="G23" i="3"/>
  <c r="G25" i="3"/>
  <c r="N39" i="3"/>
  <c r="M38" i="3"/>
  <c r="M41" i="3" s="1"/>
  <c r="L86" i="3" l="1"/>
  <c r="L87" i="3" s="1"/>
  <c r="M86" i="3"/>
  <c r="M87" i="3" s="1"/>
  <c r="N86" i="3"/>
  <c r="N87" i="3" s="1"/>
  <c r="O86" i="3"/>
  <c r="O87" i="3" s="1"/>
  <c r="K86" i="3"/>
  <c r="N46" i="3"/>
  <c r="M42" i="3"/>
  <c r="L67" i="3"/>
  <c r="L71" i="3" s="1"/>
  <c r="L80" i="3" s="1"/>
  <c r="L53" i="3"/>
  <c r="K81" i="3"/>
  <c r="M49" i="3"/>
  <c r="M52" i="3" s="1"/>
  <c r="M47" i="3"/>
  <c r="O39" i="3"/>
  <c r="O38" i="3" s="1"/>
  <c r="N38" i="3"/>
  <c r="N41" i="3" s="1"/>
  <c r="G27" i="3"/>
  <c r="F27" i="3"/>
  <c r="O41" i="3" l="1"/>
  <c r="O42" i="3" s="1"/>
  <c r="O98" i="3"/>
  <c r="O100" i="3" s="1"/>
  <c r="K87" i="3"/>
  <c r="K94" i="3" s="1"/>
  <c r="K93" i="3"/>
  <c r="L81" i="3"/>
  <c r="L94" i="3" s="1"/>
  <c r="L93" i="3"/>
  <c r="O46" i="3"/>
  <c r="N42" i="3"/>
  <c r="M67" i="3"/>
  <c r="M71" i="3" s="1"/>
  <c r="M80" i="3" s="1"/>
  <c r="M53" i="3"/>
  <c r="N49" i="3"/>
  <c r="N52" i="3" s="1"/>
  <c r="N47" i="3"/>
  <c r="M81" i="3" l="1"/>
  <c r="M94" i="3" s="1"/>
  <c r="M93" i="3"/>
  <c r="N67" i="3"/>
  <c r="N71" i="3" s="1"/>
  <c r="N80" i="3" s="1"/>
  <c r="N53" i="3"/>
  <c r="O49" i="3"/>
  <c r="O52" i="3" s="1"/>
  <c r="O47" i="3"/>
  <c r="N81" i="3" l="1"/>
  <c r="N94" i="3" s="1"/>
  <c r="N93" i="3"/>
  <c r="O67" i="3"/>
  <c r="O71" i="3" s="1"/>
  <c r="O80" i="3" s="1"/>
  <c r="O53" i="3"/>
  <c r="O81" i="3" l="1"/>
  <c r="O94" i="3" s="1"/>
  <c r="O101" i="3" s="1"/>
  <c r="O102" i="3" s="1"/>
  <c r="O93" i="3"/>
  <c r="O106" i="3" l="1"/>
  <c r="O107" i="3" s="1"/>
  <c r="O11" i="3" s="1"/>
  <c r="O10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<sst xmlns="http://schemas.openxmlformats.org/spreadsheetml/2006/main" count="482" uniqueCount="178">
  <si>
    <t>Start up Cost</t>
  </si>
  <si>
    <t>June</t>
  </si>
  <si>
    <t>July</t>
  </si>
  <si>
    <t>August</t>
  </si>
  <si>
    <t>Item</t>
  </si>
  <si>
    <t>Amount</t>
  </si>
  <si>
    <t>Boat #</t>
  </si>
  <si>
    <t>Hourly Rate</t>
  </si>
  <si>
    <t>Ford Ranger</t>
  </si>
  <si>
    <t>Purchase Price</t>
  </si>
  <si>
    <t>4X Ratchet Straps</t>
  </si>
  <si>
    <t>Paint</t>
  </si>
  <si>
    <t>Blow Torch</t>
  </si>
  <si>
    <t>Gas</t>
  </si>
  <si>
    <t>Monthly Auto Insurance</t>
  </si>
  <si>
    <t>Welding</t>
  </si>
  <si>
    <t>cash</t>
  </si>
  <si>
    <t>Hours</t>
  </si>
  <si>
    <t>Labor Cost</t>
  </si>
  <si>
    <t>COGS</t>
  </si>
  <si>
    <t>Revenue</t>
  </si>
  <si>
    <t>Total Cost</t>
  </si>
  <si>
    <t>Profit Margin</t>
  </si>
  <si>
    <t xml:space="preserve">3 Month Revenue </t>
  </si>
  <si>
    <t>3 Month Gross Profit</t>
  </si>
  <si>
    <t>3 Month COGS</t>
  </si>
  <si>
    <t>9 Moth Estimate</t>
  </si>
  <si>
    <t>Month</t>
  </si>
  <si>
    <t xml:space="preserve">September </t>
  </si>
  <si>
    <t>October</t>
  </si>
  <si>
    <t>November</t>
  </si>
  <si>
    <t>December</t>
  </si>
  <si>
    <t xml:space="preserve">January </t>
  </si>
  <si>
    <t>February</t>
  </si>
  <si>
    <t xml:space="preserve">March </t>
  </si>
  <si>
    <t>April</t>
  </si>
  <si>
    <t>May</t>
  </si>
  <si>
    <t>1 Year COGS Estimate</t>
  </si>
  <si>
    <t>1 Month  Revenue Estimate</t>
  </si>
  <si>
    <t>1 Month Profit Estimate</t>
  </si>
  <si>
    <t>Profit</t>
  </si>
  <si>
    <t xml:space="preserve">Row Boat Business </t>
  </si>
  <si>
    <t>Balance Sheet</t>
  </si>
  <si>
    <t>Income Statement</t>
  </si>
  <si>
    <t>Statement of Cash Flows</t>
  </si>
  <si>
    <t>As of October 16, 2024</t>
  </si>
  <si>
    <t>For the year Ended Dec 31, 2016</t>
  </si>
  <si>
    <t>For the Year Ended Dec 31, 2024</t>
  </si>
  <si>
    <t>Assets</t>
  </si>
  <si>
    <t xml:space="preserve">Cash Flows From Operations </t>
  </si>
  <si>
    <t>Cash and Equivalents</t>
  </si>
  <si>
    <t>Sales</t>
  </si>
  <si>
    <t>Net Income</t>
  </si>
  <si>
    <t>Accounts Recievable</t>
  </si>
  <si>
    <t>Cost of Goods Sold</t>
  </si>
  <si>
    <t>Depreciation Expense (-)</t>
  </si>
  <si>
    <t>Inventory</t>
  </si>
  <si>
    <t>Gross Profit</t>
  </si>
  <si>
    <t>Change in Account Recievable</t>
  </si>
  <si>
    <t>Total Current Assets</t>
  </si>
  <si>
    <t>Selling and G&amp;A Expenses</t>
  </si>
  <si>
    <t>Change in Inventories Increase</t>
  </si>
  <si>
    <t>Plant &amp; Equipment</t>
  </si>
  <si>
    <t>Fixed Expense</t>
  </si>
  <si>
    <t xml:space="preserve">Change in Accounts Payable </t>
  </si>
  <si>
    <t>Accumulated Depreciation</t>
  </si>
  <si>
    <t>Change in Other Current Liabilities</t>
  </si>
  <si>
    <t>Net Fixed Assets</t>
  </si>
  <si>
    <t>EBIT</t>
  </si>
  <si>
    <t xml:space="preserve">Total Cash Flows From Operations </t>
  </si>
  <si>
    <t>Total Assets</t>
  </si>
  <si>
    <t>Interest Expense</t>
  </si>
  <si>
    <t>Cash Flows from Investing</t>
  </si>
  <si>
    <t>Liabilities and Owner's Equity</t>
  </si>
  <si>
    <t>Earnings Before Taxes</t>
  </si>
  <si>
    <t>Change in Plant &amp; Equipment</t>
  </si>
  <si>
    <t>Accounts Payable</t>
  </si>
  <si>
    <t>Taxes</t>
  </si>
  <si>
    <t>Total Cash Flows from Financing</t>
  </si>
  <si>
    <t>Short-term Notes Payable</t>
  </si>
  <si>
    <t>Change in Short-Term Notes Payable</t>
  </si>
  <si>
    <r>
      <rPr>
        <sz val="11"/>
        <color rgb="FF000000"/>
        <rFont val="Aptos Narrow"/>
        <scheme val="minor"/>
      </rPr>
      <t xml:space="preserve">Other Current </t>
    </r>
    <r>
      <rPr>
        <i/>
        <sz val="11"/>
        <color rgb="FF000000"/>
        <rFont val="Aptos Narrow"/>
        <scheme val="minor"/>
      </rPr>
      <t xml:space="preserve">Liabilities </t>
    </r>
  </si>
  <si>
    <t>Change in Long-Term Debt</t>
  </si>
  <si>
    <r>
      <rPr>
        <sz val="11"/>
        <color rgb="FF000000"/>
        <rFont val="Aptos Narrow"/>
        <scheme val="minor"/>
      </rPr>
      <t xml:space="preserve">Total Current </t>
    </r>
    <r>
      <rPr>
        <i/>
        <sz val="11"/>
        <color rgb="FF000000"/>
        <rFont val="Aptos Narrow"/>
        <scheme val="minor"/>
      </rPr>
      <t>Liabilities</t>
    </r>
  </si>
  <si>
    <t xml:space="preserve">Notes: </t>
  </si>
  <si>
    <t>Change in Common Stock</t>
  </si>
  <si>
    <t>Long-term debt</t>
  </si>
  <si>
    <t>Tax Rate</t>
  </si>
  <si>
    <t>Cash Dividends Paid to Shareholders</t>
  </si>
  <si>
    <r>
      <rPr>
        <sz val="11"/>
        <color rgb="FF000000"/>
        <rFont val="Aptos Narrow"/>
      </rPr>
      <t xml:space="preserve">Total </t>
    </r>
    <r>
      <rPr>
        <i/>
        <sz val="11"/>
        <color rgb="FF000000"/>
        <rFont val="Aptos Narrow"/>
      </rPr>
      <t xml:space="preserve">Liabilities </t>
    </r>
  </si>
  <si>
    <t>Total Cash Flows From Financing</t>
  </si>
  <si>
    <t>Common Stock</t>
  </si>
  <si>
    <t>Single Line Depreciation</t>
  </si>
  <si>
    <t>Net Change in Cash Balance</t>
  </si>
  <si>
    <t>Retained Earnings</t>
  </si>
  <si>
    <t>Ford Ranger Salvage Value:</t>
  </si>
  <si>
    <t>Total Shareholders Equity</t>
  </si>
  <si>
    <t xml:space="preserve">Useful Life: </t>
  </si>
  <si>
    <t>Total Liabilities and Owner's Equity</t>
  </si>
  <si>
    <t xml:space="preserve">Blow Torch Salvage Value: </t>
  </si>
  <si>
    <t>Useful Life:</t>
  </si>
  <si>
    <t xml:space="preserve">Ratchet Straps: </t>
  </si>
  <si>
    <t> </t>
  </si>
  <si>
    <t>LBO</t>
  </si>
  <si>
    <t>x</t>
  </si>
  <si>
    <t>Assumptions</t>
  </si>
  <si>
    <t>Entry ($)</t>
  </si>
  <si>
    <t>Financials</t>
  </si>
  <si>
    <t>Capital Structure</t>
  </si>
  <si>
    <t>Cost</t>
  </si>
  <si>
    <t>LTM EBITDA</t>
  </si>
  <si>
    <t>LTM Financials</t>
  </si>
  <si>
    <t>Bank Debt</t>
  </si>
  <si>
    <t>4.0x</t>
  </si>
  <si>
    <t>EBITDA Multiple X</t>
  </si>
  <si>
    <t>Senior Notes</t>
  </si>
  <si>
    <t>2.0x</t>
  </si>
  <si>
    <t>Enterprise Value</t>
  </si>
  <si>
    <t>EBITDA</t>
  </si>
  <si>
    <t>Existing Net Debt</t>
  </si>
  <si>
    <t>D&amp;A</t>
  </si>
  <si>
    <t>For Reference</t>
  </si>
  <si>
    <t>Equity Value</t>
  </si>
  <si>
    <t>Capex</t>
  </si>
  <si>
    <t>IRR</t>
  </si>
  <si>
    <t>NWC</t>
  </si>
  <si>
    <t>Fees &amp; Expenses</t>
  </si>
  <si>
    <t>Operating Assumptions</t>
  </si>
  <si>
    <t>Exit ($)</t>
  </si>
  <si>
    <t>Revenue Growth</t>
  </si>
  <si>
    <t>xEBITDA Multiple</t>
  </si>
  <si>
    <t>YoY margin expansion</t>
  </si>
  <si>
    <t>Sources and Uses</t>
  </si>
  <si>
    <t>Sources</t>
  </si>
  <si>
    <t>Uses</t>
  </si>
  <si>
    <t>xEBITDA</t>
  </si>
  <si>
    <t>% Capital</t>
  </si>
  <si>
    <t>Debt Retirement</t>
  </si>
  <si>
    <t>Equity Payment</t>
  </si>
  <si>
    <t>Total Debt</t>
  </si>
  <si>
    <t>Fees and Expense</t>
  </si>
  <si>
    <t>Sponsor Equity</t>
  </si>
  <si>
    <t>Total Sources</t>
  </si>
  <si>
    <t>Total</t>
  </si>
  <si>
    <t>Operating Model</t>
  </si>
  <si>
    <t>Year 0</t>
  </si>
  <si>
    <t>Year 1</t>
  </si>
  <si>
    <t>Year 2</t>
  </si>
  <si>
    <t>Year 3</t>
  </si>
  <si>
    <t>Year 4</t>
  </si>
  <si>
    <t>Year 5</t>
  </si>
  <si>
    <t xml:space="preserve">   % growth</t>
  </si>
  <si>
    <t>%sales</t>
  </si>
  <si>
    <t xml:space="preserve">   % sales</t>
  </si>
  <si>
    <t>Interest</t>
  </si>
  <si>
    <t>EBT</t>
  </si>
  <si>
    <t xml:space="preserve">   % tax rate</t>
  </si>
  <si>
    <t>Cash flow Items</t>
  </si>
  <si>
    <t>Net Working Capital</t>
  </si>
  <si>
    <t>Change in Net Working Capital</t>
  </si>
  <si>
    <t>CapEx</t>
  </si>
  <si>
    <t>Levered Cash Flow</t>
  </si>
  <si>
    <t>Change in NWC</t>
  </si>
  <si>
    <t>Debt Schedule</t>
  </si>
  <si>
    <t xml:space="preserve">   Beginning Balance</t>
  </si>
  <si>
    <t xml:space="preserve">   Interest</t>
  </si>
  <si>
    <t xml:space="preserve">   Paydown</t>
  </si>
  <si>
    <t xml:space="preserve">   Ending Balance</t>
  </si>
  <si>
    <t>Sr. Notes</t>
  </si>
  <si>
    <t>Beginning Balance</t>
  </si>
  <si>
    <t>Pay Down</t>
  </si>
  <si>
    <t>Ending Balance</t>
  </si>
  <si>
    <t>EBITDA at Exit</t>
  </si>
  <si>
    <t>Exit Multiple</t>
  </si>
  <si>
    <t>Net Debt</t>
  </si>
  <si>
    <t>Sponsor Equity Value</t>
  </si>
  <si>
    <t>Sponsor Equity at Entry</t>
  </si>
  <si>
    <t>MOIC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</si>
</sst>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0">
    <font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9"/>
      <color rgb="FF000000"/>
      <name val="Aptos Narrow"/>
      <scheme val="minor"/>
    </font>
    <font>
      <sz val="11"/>
      <color theme="0"/>
      <name val="Aptos Narrow"/>
      <family val="2"/>
      <scheme val="minor"/>
    </font>
    <font>
      <sz val="18"/>
      <color rgb="FFFFFFFF"/>
      <name val="Aptos Narrow"/>
      <scheme val="minor"/>
    </font>
    <font>
      <sz val="16"/>
      <color rgb="FFFFFFFF"/>
      <name val="Aptos Narrow"/>
      <scheme val="minor"/>
    </font>
    <font>
      <i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i/>
      <sz val="11"/>
      <color rgb="FF000000"/>
      <name val="Aptos Narrow"/>
      <scheme val="minor"/>
    </font>
    <font>
      <sz val="11"/>
      <color rgb="FF000000"/>
      <name val="Aptos Narrow"/>
    </font>
    <font>
      <i/>
      <sz val="11"/>
      <color rgb="FF000000"/>
      <name val="Aptos Narrow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7030A0"/>
      <name val="Calibri"/>
      <family val="2"/>
    </font>
    <font>
      <b/>
      <u/>
      <sz val="11"/>
      <color rgb="FF000000"/>
      <name val="Calibri"/>
      <family val="2"/>
    </font>
    <font>
      <sz val="11"/>
      <color rgb="FF0000FF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i/>
      <sz val="11"/>
      <color rgb="FF000000"/>
      <name val="Calibri"/>
      <family val="2"/>
    </font>
    <font>
      <i/>
      <sz val="11"/>
      <color rgb="FF7030A0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sz val="11"/>
      <color rgb="FF7030A0"/>
      <name val="Calibri"/>
      <family val="2"/>
    </font>
    <font>
      <sz val="11"/>
      <color rgb="FF000000"/>
      <name val="Aptos Narrow"/>
      <charset val="1"/>
    </font>
    <font>
      <sz val="2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6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4546A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5" fillId="0" borderId="0" xfId="0" applyFont="1"/>
    <xf numFmtId="0" fontId="0" fillId="0" borderId="0" xfId="0" applyBorder="1"/>
    <xf numFmtId="6" fontId="0" fillId="0" borderId="1" xfId="0" applyNumberFormat="1" applyBorder="1"/>
    <xf numFmtId="0" fontId="0" fillId="0" borderId="1" xfId="0" applyBorder="1"/>
    <xf numFmtId="0" fontId="0" fillId="3" borderId="0" xfId="0" applyFill="1" applyBorder="1"/>
    <xf numFmtId="6" fontId="0" fillId="0" borderId="0" xfId="0" applyNumberFormat="1" applyBorder="1"/>
    <xf numFmtId="0" fontId="7" fillId="3" borderId="0" xfId="0" applyFont="1" applyFill="1" applyBorder="1"/>
    <xf numFmtId="6" fontId="6" fillId="0" borderId="0" xfId="0" applyNumberFormat="1" applyFont="1" applyBorder="1"/>
    <xf numFmtId="0" fontId="6" fillId="0" borderId="0" xfId="0" applyFont="1" applyBorder="1"/>
    <xf numFmtId="0" fontId="6" fillId="0" borderId="0" xfId="0" applyFont="1"/>
    <xf numFmtId="0" fontId="4" fillId="3" borderId="0" xfId="0" applyFont="1" applyFill="1" applyBorder="1"/>
    <xf numFmtId="0" fontId="6" fillId="3" borderId="0" xfId="0" applyFont="1" applyFill="1" applyBorder="1"/>
    <xf numFmtId="0" fontId="3" fillId="3" borderId="0" xfId="0" applyFont="1" applyFill="1" applyBorder="1"/>
    <xf numFmtId="0" fontId="8" fillId="3" borderId="0" xfId="0" applyFont="1" applyFill="1" applyBorder="1"/>
    <xf numFmtId="0" fontId="0" fillId="3" borderId="0" xfId="0" applyFill="1"/>
    <xf numFmtId="0" fontId="1" fillId="3" borderId="0" xfId="0" applyFont="1" applyFill="1" applyBorder="1"/>
    <xf numFmtId="6" fontId="0" fillId="0" borderId="0" xfId="0" applyNumberFormat="1"/>
    <xf numFmtId="0" fontId="6" fillId="0" borderId="1" xfId="0" applyFont="1" applyBorder="1"/>
    <xf numFmtId="0" fontId="2" fillId="0" borderId="1" xfId="0" applyFont="1" applyBorder="1"/>
    <xf numFmtId="0" fontId="3" fillId="0" borderId="1" xfId="0" applyFont="1" applyBorder="1"/>
    <xf numFmtId="6" fontId="0" fillId="0" borderId="3" xfId="0" applyNumberFormat="1" applyBorder="1"/>
    <xf numFmtId="6" fontId="0" fillId="0" borderId="4" xfId="0" applyNumberFormat="1" applyBorder="1"/>
    <xf numFmtId="0" fontId="0" fillId="0" borderId="3" xfId="0" applyBorder="1"/>
    <xf numFmtId="0" fontId="3" fillId="0" borderId="3" xfId="0" applyFont="1" applyBorder="1"/>
    <xf numFmtId="0" fontId="0" fillId="0" borderId="4" xfId="0" applyBorder="1"/>
    <xf numFmtId="0" fontId="3" fillId="0" borderId="4" xfId="0" applyFont="1" applyBorder="1"/>
    <xf numFmtId="0" fontId="0" fillId="0" borderId="2" xfId="0" applyBorder="1"/>
    <xf numFmtId="0" fontId="3" fillId="0" borderId="5" xfId="0" applyFont="1" applyBorder="1"/>
    <xf numFmtId="0" fontId="0" fillId="0" borderId="5" xfId="0" applyBorder="1"/>
    <xf numFmtId="0" fontId="6" fillId="0" borderId="2" xfId="0" applyFont="1" applyBorder="1"/>
    <xf numFmtId="0" fontId="10" fillId="2" borderId="1" xfId="0" applyFont="1" applyFill="1" applyBorder="1"/>
    <xf numFmtId="0" fontId="10" fillId="2" borderId="5" xfId="0" applyFont="1" applyFill="1" applyBorder="1"/>
    <xf numFmtId="6" fontId="6" fillId="0" borderId="1" xfId="0" applyNumberFormat="1" applyFont="1" applyBorder="1"/>
    <xf numFmtId="6" fontId="6" fillId="0" borderId="5" xfId="0" applyNumberFormat="1" applyFont="1" applyBorder="1"/>
    <xf numFmtId="6" fontId="0" fillId="0" borderId="1" xfId="0" applyNumberFormat="1" applyFont="1" applyBorder="1"/>
    <xf numFmtId="6" fontId="0" fillId="0" borderId="3" xfId="0" applyNumberFormat="1" applyFont="1" applyBorder="1"/>
    <xf numFmtId="6" fontId="0" fillId="0" borderId="4" xfId="0" applyNumberFormat="1" applyFont="1" applyBorder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7" fillId="0" borderId="0" xfId="0" applyFont="1"/>
    <xf numFmtId="0" fontId="0" fillId="5" borderId="1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6" xfId="0" applyBorder="1"/>
    <xf numFmtId="0" fontId="0" fillId="0" borderId="7" xfId="0" applyBorder="1"/>
    <xf numFmtId="0" fontId="0" fillId="3" borderId="12" xfId="0" applyFill="1" applyBorder="1"/>
    <xf numFmtId="0" fontId="0" fillId="3" borderId="14" xfId="0" applyFill="1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16" fillId="5" borderId="20" xfId="0" applyFont="1" applyFill="1" applyBorder="1"/>
    <xf numFmtId="0" fontId="0" fillId="5" borderId="20" xfId="0" applyFill="1" applyBorder="1"/>
    <xf numFmtId="0" fontId="0" fillId="0" borderId="21" xfId="0" applyBorder="1"/>
    <xf numFmtId="0" fontId="17" fillId="0" borderId="23" xfId="0" applyFont="1" applyBorder="1"/>
    <xf numFmtId="0" fontId="0" fillId="0" borderId="23" xfId="0" applyBorder="1"/>
    <xf numFmtId="0" fontId="0" fillId="0" borderId="24" xfId="0" applyBorder="1"/>
    <xf numFmtId="0" fontId="17" fillId="0" borderId="19" xfId="0" applyFont="1" applyBorder="1"/>
    <xf numFmtId="0" fontId="17" fillId="0" borderId="24" xfId="0" applyFont="1" applyBorder="1"/>
    <xf numFmtId="0" fontId="0" fillId="0" borderId="10" xfId="0" applyBorder="1"/>
    <xf numFmtId="6" fontId="0" fillId="0" borderId="10" xfId="0" applyNumberFormat="1" applyBorder="1"/>
    <xf numFmtId="6" fontId="0" fillId="0" borderId="15" xfId="0" applyNumberFormat="1" applyBorder="1"/>
    <xf numFmtId="0" fontId="0" fillId="0" borderId="15" xfId="0" applyFont="1" applyBorder="1"/>
    <xf numFmtId="6" fontId="0" fillId="0" borderId="11" xfId="0" applyNumberFormat="1" applyBorder="1"/>
    <xf numFmtId="6" fontId="0" fillId="0" borderId="27" xfId="0" applyNumberFormat="1" applyBorder="1"/>
    <xf numFmtId="6" fontId="17" fillId="0" borderId="11" xfId="0" applyNumberFormat="1" applyFont="1" applyBorder="1"/>
    <xf numFmtId="6" fontId="17" fillId="0" borderId="27" xfId="0" applyNumberFormat="1" applyFont="1" applyBorder="1"/>
    <xf numFmtId="6" fontId="17" fillId="0" borderId="26" xfId="0" applyNumberFormat="1" applyFont="1" applyBorder="1"/>
    <xf numFmtId="0" fontId="0" fillId="0" borderId="25" xfId="0" applyBorder="1"/>
    <xf numFmtId="0" fontId="17" fillId="0" borderId="10" xfId="0" applyFont="1" applyBorder="1"/>
    <xf numFmtId="0" fontId="17" fillId="0" borderId="20" xfId="0" applyFont="1" applyBorder="1"/>
    <xf numFmtId="0" fontId="0" fillId="0" borderId="22" xfId="0" applyBorder="1"/>
    <xf numFmtId="6" fontId="0" fillId="0" borderId="29" xfId="0" applyNumberFormat="1" applyBorder="1"/>
    <xf numFmtId="0" fontId="17" fillId="0" borderId="0" xfId="0" applyFont="1" applyBorder="1"/>
    <xf numFmtId="0" fontId="0" fillId="0" borderId="16" xfId="0" applyBorder="1"/>
    <xf numFmtId="6" fontId="0" fillId="0" borderId="28" xfId="0" applyNumberFormat="1" applyBorder="1"/>
    <xf numFmtId="0" fontId="0" fillId="5" borderId="7" xfId="0" applyFill="1" applyBorder="1"/>
    <xf numFmtId="0" fontId="0" fillId="5" borderId="25" xfId="0" applyFill="1" applyBorder="1"/>
    <xf numFmtId="0" fontId="0" fillId="5" borderId="19" xfId="0" applyFill="1" applyBorder="1"/>
    <xf numFmtId="6" fontId="0" fillId="0" borderId="8" xfId="0" applyNumberFormat="1" applyBorder="1"/>
    <xf numFmtId="0" fontId="18" fillId="5" borderId="0" xfId="0" applyFont="1" applyFill="1" applyBorder="1"/>
    <xf numFmtId="0" fontId="18" fillId="5" borderId="9" xfId="0" applyFont="1" applyFill="1" applyBorder="1"/>
    <xf numFmtId="0" fontId="19" fillId="5" borderId="10" xfId="0" applyFont="1" applyFill="1" applyBorder="1"/>
    <xf numFmtId="0" fontId="0" fillId="0" borderId="20" xfId="0" applyBorder="1"/>
    <xf numFmtId="0" fontId="20" fillId="0" borderId="10" xfId="0" applyFont="1" applyBorder="1"/>
    <xf numFmtId="0" fontId="17" fillId="5" borderId="10" xfId="0" applyFont="1" applyFill="1" applyBorder="1"/>
    <xf numFmtId="0" fontId="17" fillId="0" borderId="18" xfId="0" applyFont="1" applyBorder="1"/>
    <xf numFmtId="0" fontId="0" fillId="0" borderId="14" xfId="0" applyBorder="1"/>
    <xf numFmtId="0" fontId="17" fillId="3" borderId="10" xfId="0" applyFont="1" applyFill="1" applyBorder="1"/>
    <xf numFmtId="0" fontId="17" fillId="5" borderId="27" xfId="0" applyFont="1" applyFill="1" applyBorder="1"/>
    <xf numFmtId="0" fontId="19" fillId="5" borderId="15" xfId="0" applyFont="1" applyFill="1" applyBorder="1"/>
    <xf numFmtId="0" fontId="0" fillId="5" borderId="15" xfId="0" applyFill="1" applyBorder="1"/>
    <xf numFmtId="0" fontId="0" fillId="3" borderId="15" xfId="0" applyFill="1" applyBorder="1"/>
    <xf numFmtId="6" fontId="0" fillId="0" borderId="17" xfId="0" applyNumberFormat="1" applyBorder="1"/>
    <xf numFmtId="6" fontId="0" fillId="0" borderId="11" xfId="0" applyNumberFormat="1" applyFont="1" applyBorder="1"/>
    <xf numFmtId="0" fontId="16" fillId="5" borderId="7" xfId="0" applyFont="1" applyFill="1" applyBorder="1"/>
    <xf numFmtId="9" fontId="0" fillId="3" borderId="13" xfId="0" applyNumberFormat="1" applyFill="1" applyBorder="1"/>
    <xf numFmtId="9" fontId="0" fillId="3" borderId="0" xfId="0" applyNumberFormat="1" applyFill="1" applyBorder="1"/>
    <xf numFmtId="6" fontId="0" fillId="3" borderId="11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1" fillId="0" borderId="0" xfId="0" applyFont="1" applyFill="1" applyBorder="1" applyAlignment="1"/>
    <xf numFmtId="0" fontId="21" fillId="0" borderId="30" xfId="0" applyFont="1" applyFill="1" applyBorder="1" applyAlignment="1"/>
    <xf numFmtId="0" fontId="22" fillId="0" borderId="30" xfId="0" applyFont="1" applyFill="1" applyBorder="1" applyAlignment="1"/>
    <xf numFmtId="0" fontId="23" fillId="6" borderId="0" xfId="0" applyFont="1" applyFill="1" applyBorder="1" applyAlignment="1"/>
    <xf numFmtId="0" fontId="23" fillId="6" borderId="0" xfId="0" applyFont="1" applyFill="1" applyAlignment="1"/>
    <xf numFmtId="0" fontId="24" fillId="6" borderId="0" xfId="0" applyFont="1" applyFill="1" applyBorder="1" applyAlignment="1"/>
    <xf numFmtId="0" fontId="23" fillId="0" borderId="0" xfId="0" applyFont="1" applyFill="1" applyBorder="1" applyAlignment="1"/>
    <xf numFmtId="0" fontId="24" fillId="0" borderId="0" xfId="0" applyFont="1" applyFill="1" applyBorder="1" applyAlignment="1"/>
    <xf numFmtId="0" fontId="23" fillId="7" borderId="0" xfId="0" applyFont="1" applyFill="1" applyBorder="1" applyAlignment="1"/>
    <xf numFmtId="0" fontId="23" fillId="7" borderId="0" xfId="0" applyFont="1" applyFill="1" applyAlignment="1"/>
    <xf numFmtId="0" fontId="21" fillId="0" borderId="0" xfId="0" applyFont="1" applyFill="1" applyAlignment="1"/>
    <xf numFmtId="0" fontId="25" fillId="0" borderId="0" xfId="0" applyFont="1" applyFill="1" applyBorder="1" applyAlignment="1"/>
    <xf numFmtId="0" fontId="26" fillId="0" borderId="0" xfId="0" applyFont="1" applyFill="1" applyBorder="1" applyAlignment="1"/>
    <xf numFmtId="0" fontId="26" fillId="0" borderId="0" xfId="0" applyFont="1" applyFill="1" applyAlignment="1"/>
    <xf numFmtId="0" fontId="27" fillId="8" borderId="31" xfId="0" applyFont="1" applyFill="1" applyBorder="1" applyAlignment="1"/>
    <xf numFmtId="10" fontId="27" fillId="8" borderId="32" xfId="0" applyNumberFormat="1" applyFont="1" applyFill="1" applyBorder="1" applyAlignment="1"/>
    <xf numFmtId="0" fontId="27" fillId="8" borderId="33" xfId="0" applyFont="1" applyFill="1" applyBorder="1" applyAlignment="1"/>
    <xf numFmtId="0" fontId="27" fillId="8" borderId="34" xfId="0" applyFont="1" applyFill="1" applyBorder="1" applyAlignment="1"/>
    <xf numFmtId="10" fontId="27" fillId="8" borderId="35" xfId="0" applyNumberFormat="1" applyFont="1" applyFill="1" applyBorder="1" applyAlignment="1"/>
    <xf numFmtId="0" fontId="28" fillId="0" borderId="0" xfId="0" applyFont="1" applyFill="1" applyBorder="1" applyAlignment="1"/>
    <xf numFmtId="0" fontId="28" fillId="0" borderId="0" xfId="0" applyFont="1" applyFill="1" applyAlignment="1"/>
    <xf numFmtId="3" fontId="29" fillId="0" borderId="0" xfId="0" applyNumberFormat="1" applyFont="1" applyFill="1" applyBorder="1" applyAlignment="1"/>
    <xf numFmtId="0" fontId="27" fillId="0" borderId="0" xfId="0" applyFont="1" applyFill="1" applyBorder="1" applyAlignment="1"/>
    <xf numFmtId="10" fontId="25" fillId="0" borderId="0" xfId="0" applyNumberFormat="1" applyFont="1" applyFill="1" applyBorder="1" applyAlignment="1"/>
    <xf numFmtId="10" fontId="27" fillId="8" borderId="31" xfId="0" applyNumberFormat="1" applyFont="1" applyFill="1" applyBorder="1" applyAlignment="1"/>
    <xf numFmtId="10" fontId="27" fillId="8" borderId="34" xfId="0" applyNumberFormat="1" applyFont="1" applyFill="1" applyBorder="1" applyAlignment="1"/>
    <xf numFmtId="0" fontId="25" fillId="0" borderId="30" xfId="0" applyFont="1" applyFill="1" applyBorder="1" applyAlignment="1"/>
    <xf numFmtId="0" fontId="28" fillId="9" borderId="36" xfId="0" applyFont="1" applyFill="1" applyBorder="1" applyAlignment="1"/>
    <xf numFmtId="0" fontId="28" fillId="9" borderId="0" xfId="0" applyFont="1" applyFill="1" applyAlignment="1"/>
    <xf numFmtId="0" fontId="28" fillId="9" borderId="37" xfId="0" applyFont="1" applyFill="1" applyBorder="1" applyAlignment="1"/>
    <xf numFmtId="0" fontId="28" fillId="9" borderId="38" xfId="0" applyFont="1" applyFill="1" applyBorder="1" applyAlignment="1"/>
    <xf numFmtId="0" fontId="25" fillId="0" borderId="39" xfId="0" applyFont="1" applyFill="1" applyBorder="1" applyAlignment="1"/>
    <xf numFmtId="0" fontId="30" fillId="0" borderId="0" xfId="0" applyFont="1" applyFill="1" applyBorder="1" applyAlignment="1"/>
    <xf numFmtId="0" fontId="30" fillId="0" borderId="0" xfId="0" applyFont="1" applyFill="1" applyAlignment="1"/>
    <xf numFmtId="0" fontId="21" fillId="0" borderId="39" xfId="0" applyFont="1" applyFill="1" applyBorder="1" applyAlignment="1"/>
    <xf numFmtId="0" fontId="31" fillId="0" borderId="0" xfId="0" applyFont="1" applyFill="1" applyBorder="1" applyAlignment="1"/>
    <xf numFmtId="0" fontId="32" fillId="0" borderId="39" xfId="0" applyFont="1" applyFill="1" applyBorder="1" applyAlignment="1"/>
    <xf numFmtId="0" fontId="33" fillId="0" borderId="39" xfId="0" applyFont="1" applyFill="1" applyBorder="1" applyAlignment="1"/>
    <xf numFmtId="0" fontId="32" fillId="0" borderId="0" xfId="0" applyFont="1" applyFill="1" applyBorder="1" applyAlignment="1"/>
    <xf numFmtId="0" fontId="31" fillId="0" borderId="39" xfId="0" applyFont="1" applyFill="1" applyBorder="1" applyAlignment="1"/>
    <xf numFmtId="0" fontId="30" fillId="0" borderId="39" xfId="0" applyFont="1" applyFill="1" applyBorder="1" applyAlignment="1"/>
    <xf numFmtId="0" fontId="21" fillId="0" borderId="40" xfId="0" applyFont="1" applyFill="1" applyBorder="1" applyAlignment="1"/>
    <xf numFmtId="0" fontId="33" fillId="0" borderId="40" xfId="0" applyFont="1" applyFill="1" applyBorder="1" applyAlignment="1"/>
    <xf numFmtId="0" fontId="28" fillId="9" borderId="41" xfId="0" applyFont="1" applyFill="1" applyBorder="1" applyAlignment="1"/>
    <xf numFmtId="0" fontId="28" fillId="9" borderId="42" xfId="0" applyFont="1" applyFill="1" applyBorder="1" applyAlignment="1"/>
    <xf numFmtId="0" fontId="28" fillId="9" borderId="43" xfId="0" applyFont="1" applyFill="1" applyBorder="1" applyAlignment="1"/>
    <xf numFmtId="0" fontId="28" fillId="9" borderId="44" xfId="0" applyFont="1" applyFill="1" applyBorder="1" applyAlignment="1"/>
    <xf numFmtId="0" fontId="28" fillId="9" borderId="30" xfId="0" applyFont="1" applyFill="1" applyBorder="1" applyAlignment="1"/>
    <xf numFmtId="0" fontId="0" fillId="0" borderId="0" xfId="0" applyAlignment="1">
      <alignment wrapText="1"/>
    </xf>
    <xf numFmtId="0" fontId="35" fillId="0" borderId="0" xfId="0" applyFont="1" applyAlignment="1">
      <alignment wrapText="1"/>
    </xf>
    <xf numFmtId="0" fontId="38" fillId="10" borderId="1" xfId="0" applyFont="1" applyFill="1" applyBorder="1"/>
    <xf numFmtId="0" fontId="39" fillId="10" borderId="1" xfId="0" applyFont="1" applyFill="1" applyBorder="1" applyAlignment="1">
      <alignment horizontal="center"/>
    </xf>
    <xf numFmtId="0" fontId="35" fillId="0" borderId="10" xfId="0" applyFont="1" applyBorder="1" applyAlignment="1">
      <alignment wrapText="1"/>
    </xf>
    <xf numFmtId="6" fontId="0" fillId="0" borderId="6" xfId="0" applyNumberFormat="1" applyBorder="1"/>
    <xf numFmtId="6" fontId="0" fillId="0" borderId="7" xfId="0" applyNumberFormat="1" applyBorder="1"/>
    <xf numFmtId="0" fontId="0" fillId="0" borderId="11" xfId="0" applyBorder="1"/>
    <xf numFmtId="0" fontId="0" fillId="5" borderId="3" xfId="0" applyFill="1" applyBorder="1"/>
    <xf numFmtId="0" fontId="0" fillId="5" borderId="9" xfId="0" applyFill="1" applyBorder="1"/>
    <xf numFmtId="0" fontId="0" fillId="5" borderId="4" xfId="0" applyFill="1" applyBorder="1"/>
    <xf numFmtId="6" fontId="25" fillId="0" borderId="0" xfId="0" applyNumberFormat="1" applyFont="1" applyFill="1" applyBorder="1" applyAlignment="1"/>
    <xf numFmtId="6" fontId="27" fillId="8" borderId="34" xfId="0" applyNumberFormat="1" applyFont="1" applyFill="1" applyBorder="1" applyAlignment="1"/>
    <xf numFmtId="6" fontId="27" fillId="8" borderId="31" xfId="0" applyNumberFormat="1" applyFont="1" applyFill="1" applyBorder="1" applyAlignment="1"/>
    <xf numFmtId="2" fontId="29" fillId="0" borderId="0" xfId="0" applyNumberFormat="1" applyFont="1" applyFill="1" applyBorder="1" applyAlignment="1"/>
    <xf numFmtId="6" fontId="21" fillId="0" borderId="0" xfId="0" applyNumberFormat="1" applyFont="1" applyFill="1" applyBorder="1" applyAlignment="1"/>
    <xf numFmtId="6" fontId="28" fillId="0" borderId="0" xfId="0" applyNumberFormat="1" applyFont="1" applyFill="1" applyBorder="1" applyAlignment="1"/>
    <xf numFmtId="3" fontId="25" fillId="0" borderId="0" xfId="0" applyNumberFormat="1" applyFont="1" applyFill="1" applyBorder="1" applyAlignment="1"/>
    <xf numFmtId="6" fontId="28" fillId="9" borderId="37" xfId="0" applyNumberFormat="1" applyFont="1" applyFill="1" applyBorder="1" applyAlignment="1"/>
    <xf numFmtId="2" fontId="21" fillId="0" borderId="0" xfId="0" applyNumberFormat="1" applyFont="1" applyFill="1" applyBorder="1" applyAlignment="1"/>
    <xf numFmtId="2" fontId="28" fillId="9" borderId="37" xfId="0" applyNumberFormat="1" applyFont="1" applyFill="1" applyBorder="1" applyAlignment="1"/>
    <xf numFmtId="10" fontId="21" fillId="0" borderId="0" xfId="0" applyNumberFormat="1" applyFont="1" applyFill="1" applyBorder="1" applyAlignment="1"/>
    <xf numFmtId="10" fontId="21" fillId="11" borderId="0" xfId="0" applyNumberFormat="1" applyFont="1" applyFill="1" applyBorder="1" applyAlignment="1"/>
    <xf numFmtId="6" fontId="25" fillId="0" borderId="39" xfId="0" applyNumberFormat="1" applyFont="1" applyFill="1" applyBorder="1" applyAlignment="1"/>
    <xf numFmtId="10" fontId="31" fillId="0" borderId="0" xfId="0" applyNumberFormat="1" applyFont="1" applyFill="1" applyBorder="1" applyAlignment="1"/>
    <xf numFmtId="8" fontId="21" fillId="0" borderId="0" xfId="0" applyNumberFormat="1" applyFont="1" applyFill="1" applyBorder="1" applyAlignment="1"/>
    <xf numFmtId="6" fontId="32" fillId="0" borderId="39" xfId="0" applyNumberFormat="1" applyFont="1" applyFill="1" applyBorder="1" applyAlignment="1"/>
    <xf numFmtId="10" fontId="21" fillId="0" borderId="39" xfId="0" applyNumberFormat="1" applyFont="1" applyFill="1" applyBorder="1" applyAlignment="1"/>
    <xf numFmtId="8" fontId="30" fillId="0" borderId="0" xfId="0" applyNumberFormat="1" applyFont="1" applyFill="1" applyBorder="1" applyAlignment="1"/>
    <xf numFmtId="10" fontId="32" fillId="0" borderId="39" xfId="0" applyNumberFormat="1" applyFont="1" applyFill="1" applyBorder="1" applyAlignment="1"/>
    <xf numFmtId="10" fontId="30" fillId="0" borderId="39" xfId="0" applyNumberFormat="1" applyFont="1" applyFill="1" applyBorder="1" applyAlignment="1"/>
    <xf numFmtId="6" fontId="33" fillId="0" borderId="39" xfId="0" applyNumberFormat="1" applyFont="1" applyFill="1" applyBorder="1" applyAlignment="1"/>
    <xf numFmtId="8" fontId="33" fillId="0" borderId="0" xfId="0" applyNumberFormat="1" applyFont="1" applyFill="1" applyBorder="1" applyAlignment="1"/>
    <xf numFmtId="10" fontId="32" fillId="0" borderId="0" xfId="0" applyNumberFormat="1" applyFont="1" applyFill="1" applyBorder="1" applyAlignment="1"/>
    <xf numFmtId="6" fontId="21" fillId="0" borderId="39" xfId="0" applyNumberFormat="1" applyFont="1" applyFill="1" applyBorder="1" applyAlignment="1"/>
    <xf numFmtId="10" fontId="31" fillId="0" borderId="39" xfId="0" applyNumberFormat="1" applyFont="1" applyFill="1" applyBorder="1" applyAlignment="1"/>
    <xf numFmtId="8" fontId="25" fillId="0" borderId="0" xfId="0" applyNumberFormat="1" applyFont="1" applyFill="1" applyBorder="1" applyAlignment="1"/>
    <xf numFmtId="2" fontId="25" fillId="0" borderId="30" xfId="0" applyNumberFormat="1" applyFont="1" applyFill="1" applyBorder="1" applyAlignment="1"/>
    <xf numFmtId="8" fontId="28" fillId="9" borderId="37" xfId="0" applyNumberFormat="1" applyFont="1" applyFill="1" applyBorder="1" applyAlignment="1"/>
    <xf numFmtId="6" fontId="34" fillId="0" borderId="39" xfId="0" applyNumberFormat="1" applyFont="1" applyFill="1" applyBorder="1" applyAlignment="1"/>
    <xf numFmtId="8" fontId="21" fillId="0" borderId="30" xfId="0" applyNumberFormat="1" applyFont="1" applyFill="1" applyBorder="1" applyAlignment="1"/>
    <xf numFmtId="8" fontId="28" fillId="0" borderId="0" xfId="0" applyNumberFormat="1" applyFont="1" applyFill="1" applyBorder="1" applyAlignment="1"/>
    <xf numFmtId="6" fontId="29" fillId="0" borderId="39" xfId="0" applyNumberFormat="1" applyFont="1" applyFill="1" applyBorder="1" applyAlignment="1"/>
    <xf numFmtId="6" fontId="33" fillId="0" borderId="0" xfId="0" applyNumberFormat="1" applyFont="1" applyFill="1" applyBorder="1" applyAlignment="1"/>
    <xf numFmtId="6" fontId="25" fillId="8" borderId="0" xfId="0" applyNumberFormat="1" applyFont="1" applyFill="1" applyBorder="1" applyAlignment="1"/>
    <xf numFmtId="2" fontId="25" fillId="0" borderId="0" xfId="0" applyNumberFormat="1" applyFont="1" applyFill="1" applyBorder="1" applyAlignment="1"/>
    <xf numFmtId="6" fontId="25" fillId="0" borderId="30" xfId="0" applyNumberFormat="1" applyFont="1" applyFill="1" applyBorder="1" applyAlignment="1"/>
    <xf numFmtId="8" fontId="28" fillId="9" borderId="38" xfId="0" applyNumberFormat="1" applyFont="1" applyFill="1" applyBorder="1" applyAlignment="1"/>
    <xf numFmtId="10" fontId="28" fillId="9" borderId="40" xfId="0" applyNumberFormat="1" applyFont="1" applyFill="1" applyBorder="1" applyAlignment="1"/>
    <xf numFmtId="0" fontId="0" fillId="0" borderId="0" xfId="0" applyFont="1" applyBorder="1"/>
    <xf numFmtId="10" fontId="30" fillId="0" borderId="0" xfId="0" applyNumberFormat="1" applyFont="1" applyFill="1" applyBorder="1" applyAlignment="1"/>
    <xf numFmtId="0" fontId="37" fillId="5" borderId="1" xfId="0" applyFont="1" applyFill="1" applyBorder="1" applyAlignment="1">
      <alignment horizontal="center"/>
    </xf>
    <xf numFmtId="0" fontId="36" fillId="5" borderId="1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5" borderId="0" xfId="0" applyFont="1" applyFill="1" applyBorder="1"/>
    <xf numFmtId="0" fontId="36" fillId="5" borderId="0" xfId="0" applyFont="1" applyFill="1" applyBorder="1"/>
    <xf numFmtId="0" fontId="39" fillId="1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topLeftCell="Q1" workbookViewId="0">
      <selection activeCell="AD5" sqref="AD5"/>
    </sheetView>
  </sheetViews>
  <sheetFormatPr defaultColWidth="8.85546875" defaultRowHeight="15"/>
  <cols>
    <col min="1" max="1" width="22.28515625" customWidth="1"/>
    <col min="2" max="2" width="27.42578125" customWidth="1"/>
    <col min="3" max="3" width="19.7109375" customWidth="1"/>
    <col min="4" max="4" width="17.42578125" customWidth="1"/>
    <col min="8" max="8" width="7.7109375" customWidth="1"/>
    <col min="9" max="9" width="7.42578125" customWidth="1"/>
    <col min="10" max="10" width="9.140625" customWidth="1"/>
    <col min="13" max="13" width="10.7109375" customWidth="1"/>
    <col min="14" max="14" width="9.85546875" customWidth="1"/>
    <col min="16" max="16" width="10.42578125" customWidth="1"/>
    <col min="18" max="18" width="11.28515625" customWidth="1"/>
    <col min="28" max="28" width="11.7109375" customWidth="1"/>
    <col min="29" max="29" width="10" customWidth="1"/>
  </cols>
  <sheetData>
    <row r="1" spans="1:30" ht="18.75" customHeight="1">
      <c r="A1" s="204" t="s">
        <v>0</v>
      </c>
      <c r="B1" s="205"/>
      <c r="D1" s="202" t="s">
        <v>1</v>
      </c>
      <c r="E1" s="202"/>
      <c r="F1" s="202"/>
      <c r="G1" s="202"/>
      <c r="H1" s="202"/>
      <c r="I1" s="202"/>
      <c r="J1" s="14"/>
      <c r="K1" s="212"/>
      <c r="L1" s="212"/>
      <c r="M1" s="212"/>
      <c r="N1" s="212"/>
      <c r="O1" s="213" t="s">
        <v>2</v>
      </c>
      <c r="P1" s="212"/>
      <c r="Q1" s="212"/>
      <c r="R1" s="212"/>
      <c r="S1" s="212"/>
      <c r="T1" s="15"/>
      <c r="U1" s="203" t="s">
        <v>3</v>
      </c>
      <c r="V1" s="203"/>
      <c r="W1" s="203"/>
      <c r="X1" s="203"/>
      <c r="Y1" s="203"/>
      <c r="Z1" s="203"/>
    </row>
    <row r="2" spans="1:30" ht="12.75" customHeight="1">
      <c r="A2" s="32" t="s">
        <v>4</v>
      </c>
      <c r="B2" s="31" t="s">
        <v>5</v>
      </c>
      <c r="C2" s="7"/>
      <c r="D2" s="153" t="s">
        <v>6</v>
      </c>
      <c r="E2" s="154">
        <v>1</v>
      </c>
      <c r="F2" s="154">
        <v>2</v>
      </c>
      <c r="G2" s="154">
        <v>3</v>
      </c>
      <c r="H2" s="154">
        <v>4</v>
      </c>
      <c r="I2" s="154">
        <v>5</v>
      </c>
      <c r="J2" s="11"/>
      <c r="K2" s="214">
        <v>6</v>
      </c>
      <c r="L2" s="214">
        <v>7</v>
      </c>
      <c r="M2" s="214">
        <v>8</v>
      </c>
      <c r="N2" s="214">
        <v>9</v>
      </c>
      <c r="O2" s="214">
        <v>10</v>
      </c>
      <c r="P2" s="214">
        <v>11</v>
      </c>
      <c r="Q2" s="214">
        <v>12</v>
      </c>
      <c r="R2" s="214">
        <v>13</v>
      </c>
      <c r="S2" s="214">
        <v>14</v>
      </c>
      <c r="T2" s="11"/>
      <c r="U2" s="154">
        <v>15</v>
      </c>
      <c r="V2" s="154">
        <v>16</v>
      </c>
      <c r="W2" s="154">
        <v>17</v>
      </c>
      <c r="X2" s="154">
        <v>18</v>
      </c>
      <c r="Y2" s="154">
        <v>19</v>
      </c>
      <c r="Z2" s="154">
        <v>20</v>
      </c>
      <c r="AC2" t="s">
        <v>7</v>
      </c>
      <c r="AD2" s="17">
        <v>15</v>
      </c>
    </row>
    <row r="3" spans="1:30">
      <c r="A3" s="4" t="s">
        <v>8</v>
      </c>
      <c r="B3" s="3">
        <v>500</v>
      </c>
      <c r="C3" s="8"/>
      <c r="D3" s="4" t="s">
        <v>9</v>
      </c>
      <c r="E3" s="18">
        <v>250</v>
      </c>
      <c r="F3" s="18">
        <v>250</v>
      </c>
      <c r="G3" s="18">
        <v>125</v>
      </c>
      <c r="H3" s="18">
        <v>250</v>
      </c>
      <c r="I3" s="18">
        <v>250</v>
      </c>
      <c r="J3" s="14"/>
      <c r="K3" s="18">
        <v>130</v>
      </c>
      <c r="L3" s="18">
        <v>250</v>
      </c>
      <c r="M3" s="18">
        <v>250</v>
      </c>
      <c r="N3" s="18">
        <v>130</v>
      </c>
      <c r="O3" s="18">
        <v>150</v>
      </c>
      <c r="P3" s="18">
        <v>100</v>
      </c>
      <c r="Q3" s="18">
        <v>200</v>
      </c>
      <c r="R3" s="18">
        <v>200</v>
      </c>
      <c r="S3" s="18">
        <v>250</v>
      </c>
      <c r="T3" s="12"/>
      <c r="U3" s="18">
        <v>250</v>
      </c>
      <c r="V3" s="18">
        <v>175</v>
      </c>
      <c r="W3" s="18">
        <v>40</v>
      </c>
      <c r="X3" s="18">
        <v>140</v>
      </c>
      <c r="Y3" s="18">
        <v>100</v>
      </c>
      <c r="Z3" s="18">
        <v>150</v>
      </c>
    </row>
    <row r="4" spans="1:30">
      <c r="A4" s="4" t="s">
        <v>10</v>
      </c>
      <c r="B4" s="3">
        <v>11</v>
      </c>
      <c r="C4" s="8"/>
      <c r="D4" s="4" t="s">
        <v>11</v>
      </c>
      <c r="E4" s="18">
        <v>38</v>
      </c>
      <c r="F4" s="18">
        <v>38</v>
      </c>
      <c r="G4" s="18">
        <v>75</v>
      </c>
      <c r="H4" s="18">
        <v>32</v>
      </c>
      <c r="I4" s="18">
        <v>41</v>
      </c>
      <c r="J4" s="14"/>
      <c r="K4" s="18">
        <v>39</v>
      </c>
      <c r="L4" s="18">
        <v>41</v>
      </c>
      <c r="M4" s="18">
        <v>49</v>
      </c>
      <c r="N4" s="18">
        <v>45</v>
      </c>
      <c r="O4" s="18">
        <v>41</v>
      </c>
      <c r="P4" s="18">
        <v>48</v>
      </c>
      <c r="Q4" s="18"/>
      <c r="R4" s="18">
        <v>36</v>
      </c>
      <c r="S4" s="18">
        <v>43</v>
      </c>
      <c r="T4" s="12"/>
      <c r="U4" s="18">
        <v>43</v>
      </c>
      <c r="V4" s="18">
        <v>38</v>
      </c>
      <c r="W4" s="18">
        <v>20</v>
      </c>
      <c r="X4" s="18">
        <v>35</v>
      </c>
      <c r="Y4" s="18">
        <v>41</v>
      </c>
      <c r="Z4" s="18">
        <v>41</v>
      </c>
    </row>
    <row r="5" spans="1:30">
      <c r="A5" s="4" t="s">
        <v>12</v>
      </c>
      <c r="B5" s="3">
        <v>26</v>
      </c>
      <c r="C5" s="8"/>
      <c r="D5" s="4" t="s">
        <v>13</v>
      </c>
      <c r="E5" s="18">
        <v>11</v>
      </c>
      <c r="F5" s="18">
        <v>11</v>
      </c>
      <c r="G5" s="18">
        <v>11</v>
      </c>
      <c r="H5" s="18">
        <v>56</v>
      </c>
      <c r="I5" s="18">
        <v>34</v>
      </c>
      <c r="J5" s="14"/>
      <c r="K5" s="18">
        <v>26</v>
      </c>
      <c r="L5" s="18">
        <v>10</v>
      </c>
      <c r="M5" s="18">
        <v>20</v>
      </c>
      <c r="N5" s="18">
        <v>26</v>
      </c>
      <c r="O5" s="18">
        <v>25</v>
      </c>
      <c r="P5" s="18">
        <v>68</v>
      </c>
      <c r="Q5" s="18">
        <v>64</v>
      </c>
      <c r="R5" s="18">
        <v>10</v>
      </c>
      <c r="S5" s="18">
        <v>25</v>
      </c>
      <c r="T5" s="12"/>
      <c r="U5" s="18">
        <v>28</v>
      </c>
      <c r="V5" s="18">
        <v>5</v>
      </c>
      <c r="W5" s="18">
        <v>32</v>
      </c>
      <c r="X5" s="18">
        <v>5</v>
      </c>
      <c r="Y5" s="18">
        <v>5</v>
      </c>
      <c r="Z5" s="18">
        <v>5</v>
      </c>
    </row>
    <row r="6" spans="1:30">
      <c r="A6" s="4" t="s">
        <v>14</v>
      </c>
      <c r="B6" s="3">
        <f>66*3</f>
        <v>198</v>
      </c>
      <c r="C6" s="8"/>
      <c r="D6" s="4" t="s">
        <v>15</v>
      </c>
      <c r="E6" s="19"/>
      <c r="F6" s="19"/>
      <c r="G6" s="19"/>
      <c r="H6" s="19"/>
      <c r="I6" s="19"/>
      <c r="J6" s="14"/>
      <c r="K6" s="19"/>
      <c r="L6" s="18"/>
      <c r="M6" s="18">
        <v>66</v>
      </c>
      <c r="N6" s="18"/>
      <c r="O6" s="18"/>
      <c r="P6" s="18"/>
      <c r="Q6" s="18"/>
      <c r="R6" s="18">
        <v>39</v>
      </c>
      <c r="S6" s="18">
        <v>10</v>
      </c>
      <c r="T6" s="12"/>
      <c r="U6" s="30">
        <v>41</v>
      </c>
      <c r="V6" s="30">
        <v>17</v>
      </c>
      <c r="W6" s="18">
        <v>25</v>
      </c>
      <c r="X6" s="18"/>
      <c r="Y6" s="18"/>
      <c r="Z6" s="18"/>
    </row>
    <row r="7" spans="1:30">
      <c r="A7" s="4" t="s">
        <v>16</v>
      </c>
      <c r="B7" s="3">
        <v>250</v>
      </c>
      <c r="C7" s="9"/>
      <c r="D7" s="4"/>
      <c r="E7" s="4"/>
      <c r="F7" s="4"/>
      <c r="G7" s="4"/>
      <c r="H7" s="4"/>
      <c r="I7" s="4"/>
      <c r="J7" s="14"/>
      <c r="K7" s="4"/>
      <c r="L7" s="4"/>
      <c r="M7" s="4"/>
      <c r="N7" s="4"/>
      <c r="O7" s="4"/>
      <c r="P7" s="4"/>
      <c r="Q7" s="4"/>
      <c r="R7" s="4"/>
      <c r="S7" s="27"/>
      <c r="T7" s="5"/>
      <c r="U7" s="4"/>
      <c r="V7" s="4"/>
      <c r="W7" s="25"/>
      <c r="X7" s="4"/>
      <c r="Y7" s="4"/>
      <c r="Z7" s="4"/>
    </row>
    <row r="8" spans="1:30">
      <c r="A8" s="4"/>
      <c r="B8" s="4"/>
      <c r="C8" s="9"/>
      <c r="D8" s="4" t="s">
        <v>17</v>
      </c>
      <c r="E8" s="4">
        <v>2</v>
      </c>
      <c r="F8" s="4">
        <v>2</v>
      </c>
      <c r="G8" s="4">
        <v>2</v>
      </c>
      <c r="H8" s="4">
        <v>1.5</v>
      </c>
      <c r="I8" s="27">
        <v>2</v>
      </c>
      <c r="J8" s="14"/>
      <c r="K8" s="27">
        <v>2</v>
      </c>
      <c r="L8" s="4">
        <v>2.5</v>
      </c>
      <c r="M8" s="4">
        <v>1.5</v>
      </c>
      <c r="N8" s="4">
        <v>1.5</v>
      </c>
      <c r="O8" s="4">
        <v>3</v>
      </c>
      <c r="P8" s="4">
        <v>4</v>
      </c>
      <c r="Q8" s="4">
        <v>1</v>
      </c>
      <c r="R8" s="23">
        <v>2</v>
      </c>
      <c r="S8" s="4">
        <v>3</v>
      </c>
      <c r="T8" s="5"/>
      <c r="U8" s="4">
        <v>2.5</v>
      </c>
      <c r="V8" s="4">
        <v>1.5</v>
      </c>
      <c r="W8" s="25">
        <v>1.5</v>
      </c>
      <c r="X8" s="4">
        <v>1</v>
      </c>
      <c r="Y8" s="4">
        <v>2.5</v>
      </c>
      <c r="Z8" s="4">
        <v>2.5</v>
      </c>
    </row>
    <row r="9" spans="1:30">
      <c r="A9" s="4"/>
      <c r="B9" s="4"/>
      <c r="C9" s="9"/>
      <c r="D9" s="4" t="s">
        <v>18</v>
      </c>
      <c r="E9" s="3">
        <f>E8*$AD$2</f>
        <v>30</v>
      </c>
      <c r="F9" s="3">
        <f t="shared" ref="F9:I9" si="0">F8*$AD$2</f>
        <v>30</v>
      </c>
      <c r="G9" s="3">
        <f t="shared" si="0"/>
        <v>30</v>
      </c>
      <c r="H9" s="21">
        <f t="shared" si="0"/>
        <v>22.5</v>
      </c>
      <c r="I9" s="3">
        <f t="shared" si="0"/>
        <v>30</v>
      </c>
      <c r="J9" s="6"/>
      <c r="K9" s="3">
        <f t="shared" ref="K9" si="1">K8*$AD$2</f>
        <v>30</v>
      </c>
      <c r="L9" s="22">
        <f t="shared" ref="L9" si="2">L8*$AD$2</f>
        <v>37.5</v>
      </c>
      <c r="M9" s="3">
        <f t="shared" ref="M9" si="3">M8*$AD$2</f>
        <v>22.5</v>
      </c>
      <c r="N9" s="3">
        <f t="shared" ref="N9" si="4">N8*$AD$2</f>
        <v>22.5</v>
      </c>
      <c r="O9" s="3">
        <f t="shared" ref="O9" si="5">O8*$AD$2</f>
        <v>45</v>
      </c>
      <c r="P9" s="3">
        <f t="shared" ref="P9" si="6">P8*$AD$2</f>
        <v>60</v>
      </c>
      <c r="Q9" s="3">
        <f t="shared" ref="Q9" si="7">Q8*$AD$2</f>
        <v>15</v>
      </c>
      <c r="R9" s="21">
        <f t="shared" ref="R9" si="8">R8*$AD$2</f>
        <v>30</v>
      </c>
      <c r="S9" s="3">
        <f t="shared" ref="S9" si="9">S8*$AD$2</f>
        <v>45</v>
      </c>
      <c r="T9" s="6"/>
      <c r="U9" s="3">
        <f t="shared" ref="U9" si="10">U8*$AD$2</f>
        <v>37.5</v>
      </c>
      <c r="V9" s="3">
        <f t="shared" ref="V9" si="11">V8*$AD$2</f>
        <v>22.5</v>
      </c>
      <c r="W9" s="22">
        <f t="shared" ref="W9" si="12">W8*$AD$2</f>
        <v>22.5</v>
      </c>
      <c r="X9" s="3">
        <f t="shared" ref="X9" si="13">X8*$AD$2</f>
        <v>15</v>
      </c>
      <c r="Y9" s="3">
        <f t="shared" ref="Y9" si="14">Y8*$AD$2</f>
        <v>37.5</v>
      </c>
      <c r="Z9" s="3">
        <f t="shared" ref="Z9" si="15">Z8*$AD$2</f>
        <v>37.5</v>
      </c>
    </row>
    <row r="10" spans="1:30">
      <c r="A10" s="4"/>
      <c r="B10" s="4"/>
      <c r="C10" s="9"/>
      <c r="D10" s="4"/>
      <c r="E10" s="20"/>
      <c r="F10" s="20"/>
      <c r="G10" s="20"/>
      <c r="H10" s="20"/>
      <c r="I10" s="28"/>
      <c r="J10" s="14"/>
      <c r="K10" s="28"/>
      <c r="L10" s="20"/>
      <c r="M10" s="20"/>
      <c r="N10" s="20"/>
      <c r="O10" s="20"/>
      <c r="P10" s="20"/>
      <c r="Q10" s="20"/>
      <c r="R10" s="24"/>
      <c r="S10" s="20"/>
      <c r="T10" s="13"/>
      <c r="U10" s="20"/>
      <c r="V10" s="20"/>
      <c r="W10" s="26"/>
      <c r="X10" s="20"/>
      <c r="Y10" s="20"/>
      <c r="Z10" s="20"/>
    </row>
    <row r="11" spans="1:30">
      <c r="A11" s="4"/>
      <c r="B11" s="4"/>
      <c r="C11" s="9"/>
      <c r="D11" s="4" t="s">
        <v>19</v>
      </c>
      <c r="E11" s="33">
        <f>SUM(E3:E5)+(E9)</f>
        <v>329</v>
      </c>
      <c r="F11" s="33">
        <f t="shared" ref="F11:I11" si="16">SUM(F3:F5)+(F9)</f>
        <v>329</v>
      </c>
      <c r="G11" s="33">
        <f t="shared" si="16"/>
        <v>241</v>
      </c>
      <c r="H11" s="33">
        <f t="shared" si="16"/>
        <v>360.5</v>
      </c>
      <c r="I11" s="33">
        <f t="shared" si="16"/>
        <v>355</v>
      </c>
      <c r="J11" s="14"/>
      <c r="K11" s="34">
        <f>SUM(K3:K5)+K9</f>
        <v>225</v>
      </c>
      <c r="L11" s="34">
        <f t="shared" ref="L11:S11" si="17">SUM(L3:L5)+L9</f>
        <v>338.5</v>
      </c>
      <c r="M11" s="34">
        <f t="shared" si="17"/>
        <v>341.5</v>
      </c>
      <c r="N11" s="34">
        <f t="shared" si="17"/>
        <v>223.5</v>
      </c>
      <c r="O11" s="34">
        <f t="shared" si="17"/>
        <v>261</v>
      </c>
      <c r="P11" s="34">
        <f t="shared" si="17"/>
        <v>276</v>
      </c>
      <c r="Q11" s="34">
        <f t="shared" si="17"/>
        <v>279</v>
      </c>
      <c r="R11" s="34">
        <f t="shared" si="17"/>
        <v>276</v>
      </c>
      <c r="S11" s="34">
        <f t="shared" si="17"/>
        <v>363</v>
      </c>
      <c r="T11" s="13"/>
      <c r="U11" s="33">
        <f>SUM(U3:U6)+U9</f>
        <v>399.5</v>
      </c>
      <c r="V11" s="33">
        <f t="shared" ref="V11:Z11" si="18">SUM(V3:V6)+V9</f>
        <v>257.5</v>
      </c>
      <c r="W11" s="33">
        <f t="shared" si="18"/>
        <v>139.5</v>
      </c>
      <c r="X11" s="33">
        <f t="shared" si="18"/>
        <v>195</v>
      </c>
      <c r="Y11" s="33">
        <f t="shared" si="18"/>
        <v>183.5</v>
      </c>
      <c r="Z11" s="33">
        <f t="shared" si="18"/>
        <v>233.5</v>
      </c>
    </row>
    <row r="12" spans="1:30">
      <c r="A12" s="4"/>
      <c r="B12" s="4"/>
      <c r="C12" s="9"/>
      <c r="D12" s="4" t="s">
        <v>20</v>
      </c>
      <c r="E12" s="35">
        <v>500</v>
      </c>
      <c r="F12" s="35">
        <v>550</v>
      </c>
      <c r="G12" s="35">
        <v>400</v>
      </c>
      <c r="H12" s="35">
        <v>600</v>
      </c>
      <c r="I12" s="35">
        <v>550</v>
      </c>
      <c r="J12" s="14"/>
      <c r="K12" s="35">
        <v>500</v>
      </c>
      <c r="L12" s="35">
        <v>550</v>
      </c>
      <c r="M12" s="35">
        <v>400</v>
      </c>
      <c r="N12" s="35">
        <v>400</v>
      </c>
      <c r="O12" s="35">
        <v>500</v>
      </c>
      <c r="P12" s="35">
        <v>500</v>
      </c>
      <c r="Q12" s="35">
        <v>450</v>
      </c>
      <c r="R12" s="36">
        <v>600</v>
      </c>
      <c r="S12" s="35">
        <v>550</v>
      </c>
      <c r="T12" s="5"/>
      <c r="U12" s="35">
        <v>450</v>
      </c>
      <c r="V12" s="35">
        <v>350</v>
      </c>
      <c r="W12" s="37">
        <v>325</v>
      </c>
      <c r="X12" s="35">
        <v>400</v>
      </c>
      <c r="Y12" s="35">
        <v>550</v>
      </c>
      <c r="Z12" s="35">
        <v>300</v>
      </c>
    </row>
    <row r="13" spans="1:30">
      <c r="A13" s="4" t="s">
        <v>21</v>
      </c>
      <c r="B13" s="3">
        <f>SUM(B3:B7)</f>
        <v>985</v>
      </c>
      <c r="C13" s="9"/>
      <c r="D13" s="4"/>
      <c r="E13" s="4"/>
      <c r="F13" s="4"/>
      <c r="G13" s="4"/>
      <c r="H13" s="4"/>
      <c r="I13" s="4"/>
      <c r="J13" s="14"/>
      <c r="K13" s="4"/>
      <c r="L13" s="4"/>
      <c r="M13" s="4"/>
      <c r="N13" s="4"/>
      <c r="O13" s="4"/>
      <c r="P13" s="4"/>
      <c r="Q13" s="4"/>
      <c r="R13" s="4"/>
      <c r="S13" s="29"/>
      <c r="T13" s="16"/>
      <c r="U13" s="29"/>
      <c r="V13" s="29"/>
      <c r="W13" s="4"/>
      <c r="X13" s="4"/>
      <c r="Y13" s="4"/>
      <c r="Z13" s="4"/>
    </row>
    <row r="14" spans="1:30">
      <c r="B14" s="17"/>
      <c r="C14" s="10"/>
      <c r="D14" s="4" t="s">
        <v>22</v>
      </c>
      <c r="E14" s="35">
        <f>E12-E11</f>
        <v>171</v>
      </c>
      <c r="F14" s="35">
        <f t="shared" ref="F14:I14" si="19">F12-F11</f>
        <v>221</v>
      </c>
      <c r="G14" s="35">
        <f t="shared" si="19"/>
        <v>159</v>
      </c>
      <c r="H14" s="35">
        <f t="shared" si="19"/>
        <v>239.5</v>
      </c>
      <c r="I14" s="35">
        <f t="shared" si="19"/>
        <v>195</v>
      </c>
      <c r="J14" s="2"/>
      <c r="K14" s="35">
        <f>K12-K11</f>
        <v>275</v>
      </c>
      <c r="L14" s="35">
        <f t="shared" ref="L14:S14" si="20">L12-L11</f>
        <v>211.5</v>
      </c>
      <c r="M14" s="35">
        <f t="shared" si="20"/>
        <v>58.5</v>
      </c>
      <c r="N14" s="35">
        <f t="shared" si="20"/>
        <v>176.5</v>
      </c>
      <c r="O14" s="35">
        <f t="shared" si="20"/>
        <v>239</v>
      </c>
      <c r="P14" s="35">
        <f t="shared" si="20"/>
        <v>224</v>
      </c>
      <c r="Q14" s="35">
        <f t="shared" si="20"/>
        <v>171</v>
      </c>
      <c r="R14" s="35">
        <f t="shared" si="20"/>
        <v>324</v>
      </c>
      <c r="S14" s="35">
        <f t="shared" si="20"/>
        <v>187</v>
      </c>
      <c r="T14" s="200"/>
      <c r="U14" s="35">
        <f>U12-U11</f>
        <v>50.5</v>
      </c>
      <c r="V14" s="35">
        <f t="shared" ref="V14:Z14" si="21">V12-V11</f>
        <v>92.5</v>
      </c>
      <c r="W14" s="35">
        <f t="shared" si="21"/>
        <v>185.5</v>
      </c>
      <c r="X14" s="35">
        <f t="shared" si="21"/>
        <v>205</v>
      </c>
      <c r="Y14" s="35">
        <f t="shared" si="21"/>
        <v>366.5</v>
      </c>
      <c r="Z14" s="35">
        <f t="shared" si="21"/>
        <v>66.5</v>
      </c>
    </row>
    <row r="15" spans="1:30">
      <c r="K15" s="1"/>
    </row>
    <row r="16" spans="1:30">
      <c r="A16" t="s">
        <v>23</v>
      </c>
      <c r="B16" s="17">
        <f>SUM(E12:I12,K12:S12,U12:Z12)</f>
        <v>9425</v>
      </c>
    </row>
    <row r="17" spans="1:13">
      <c r="A17" t="s">
        <v>24</v>
      </c>
      <c r="B17" s="17">
        <f>SUM(E14:I14,K14:S14,U14:Z14)-B13</f>
        <v>2833.5</v>
      </c>
    </row>
    <row r="18" spans="1:13">
      <c r="A18" t="s">
        <v>25</v>
      </c>
      <c r="B18" s="17">
        <f>SUM(E11:I11,K11:S11,U11:Z11)</f>
        <v>5606.5</v>
      </c>
      <c r="D18" s="159"/>
      <c r="E18" s="160"/>
      <c r="F18" s="160"/>
      <c r="G18" s="160"/>
      <c r="H18" s="160" t="s">
        <v>26</v>
      </c>
      <c r="I18" s="160"/>
      <c r="J18" s="160"/>
      <c r="K18" s="160"/>
      <c r="L18" s="160"/>
      <c r="M18" s="161"/>
    </row>
    <row r="19" spans="1:13">
      <c r="A19" s="151"/>
      <c r="B19" s="151"/>
      <c r="C19" s="152"/>
      <c r="D19" s="155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s="158" t="s">
        <v>36</v>
      </c>
    </row>
    <row r="20" spans="1:13">
      <c r="A20" t="s">
        <v>37</v>
      </c>
      <c r="B20" s="17">
        <f>SUM(E11:I11,K11:S11,U11:Z11,E20:M20)</f>
        <v>15110.375</v>
      </c>
      <c r="C20" s="17"/>
      <c r="D20" s="60" t="s">
        <v>19</v>
      </c>
      <c r="E20" s="17">
        <f>SUM(E11:I11)</f>
        <v>1614.5</v>
      </c>
      <c r="F20" s="17">
        <f>SUM(E11:I11)*1/4</f>
        <v>403.625</v>
      </c>
      <c r="G20" s="17">
        <f>SUM(E11:I11)*1/4</f>
        <v>403.625</v>
      </c>
      <c r="H20" s="17">
        <f>SUM(E11:I11)*1/4</f>
        <v>403.625</v>
      </c>
      <c r="I20" s="17">
        <f>SUM(E11:I11)*1/4</f>
        <v>403.625</v>
      </c>
      <c r="J20" s="17">
        <f>SUM(E11:I11)*1/4</f>
        <v>403.625</v>
      </c>
      <c r="K20" s="17">
        <f>SUM(U11:Z11)*1/2</f>
        <v>704.25</v>
      </c>
      <c r="L20" s="17">
        <f>SUM(K11:S11)</f>
        <v>2583.5</v>
      </c>
      <c r="M20" s="64">
        <f>SUM(K11:S11)</f>
        <v>2583.5</v>
      </c>
    </row>
    <row r="21" spans="1:13">
      <c r="A21" t="s">
        <v>38</v>
      </c>
      <c r="B21" s="17">
        <f>SUM(E12:I12,K12:S12,U12:Z12,E21:M21)</f>
        <v>25362.5</v>
      </c>
      <c r="C21" s="17"/>
      <c r="D21" s="61" t="s">
        <v>20</v>
      </c>
      <c r="E21" s="17">
        <f>SUM(E12:I12)</f>
        <v>2600</v>
      </c>
      <c r="F21" s="17">
        <f>SUM(E12:I12)*1/4</f>
        <v>650</v>
      </c>
      <c r="G21" s="17">
        <f>SUM(E12:I12)*1/4</f>
        <v>650</v>
      </c>
      <c r="H21" s="17">
        <f>SUM(E12:I12)*1/4</f>
        <v>650</v>
      </c>
      <c r="I21" s="17">
        <f>SUM(E12:I12)*1/4</f>
        <v>650</v>
      </c>
      <c r="J21" s="17">
        <f>SUM(E12:I12)*1/4</f>
        <v>650</v>
      </c>
      <c r="K21" s="17">
        <f>SUM(U12:Z12)*1/2</f>
        <v>1187.5</v>
      </c>
      <c r="L21" s="17">
        <f>SUM(K12:S12)</f>
        <v>4450</v>
      </c>
      <c r="M21" s="64">
        <f>SUM(K12:S12)</f>
        <v>4450</v>
      </c>
    </row>
    <row r="22" spans="1:13">
      <c r="A22" t="s">
        <v>39</v>
      </c>
      <c r="B22" s="17">
        <f>B21-B20</f>
        <v>10252.125</v>
      </c>
      <c r="C22" s="17"/>
      <c r="D22" s="156" t="s">
        <v>40</v>
      </c>
      <c r="E22" s="157">
        <f>E21-E20</f>
        <v>985.5</v>
      </c>
      <c r="F22" s="157">
        <f t="shared" ref="F22:K22" si="22">F21-F20</f>
        <v>246.375</v>
      </c>
      <c r="G22" s="157">
        <f t="shared" si="22"/>
        <v>246.375</v>
      </c>
      <c r="H22" s="157">
        <f t="shared" si="22"/>
        <v>246.375</v>
      </c>
      <c r="I22" s="157">
        <f t="shared" si="22"/>
        <v>246.375</v>
      </c>
      <c r="J22" s="157">
        <f t="shared" si="22"/>
        <v>246.375</v>
      </c>
      <c r="K22" s="157">
        <f>K21-K20</f>
        <v>483.25</v>
      </c>
      <c r="L22" s="157">
        <f>L21-L20</f>
        <v>1866.5</v>
      </c>
      <c r="M22" s="80">
        <f>L21-L20</f>
        <v>1866.5</v>
      </c>
    </row>
    <row r="23" spans="1:13">
      <c r="B23" s="17"/>
      <c r="C23" s="17"/>
      <c r="D23" s="17"/>
    </row>
    <row r="24" spans="1:13">
      <c r="A24" s="151"/>
      <c r="B24" s="17"/>
    </row>
    <row r="25" spans="1:13">
      <c r="A25" s="151"/>
      <c r="B25" s="17"/>
    </row>
    <row r="26" spans="1:13">
      <c r="B26" s="17"/>
    </row>
  </sheetData>
  <mergeCells count="3">
    <mergeCell ref="D1:I1"/>
    <mergeCell ref="U1:Z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15FD-A229-43D0-8ACC-8B9EE1416081}">
  <dimension ref="A1:N28"/>
  <sheetViews>
    <sheetView workbookViewId="0">
      <selection activeCell="D16" sqref="D16"/>
    </sheetView>
  </sheetViews>
  <sheetFormatPr defaultRowHeight="15"/>
  <cols>
    <col min="1" max="1" width="11.42578125" customWidth="1"/>
    <col min="3" max="3" width="9.28515625" customWidth="1"/>
    <col min="6" max="6" width="13.85546875" customWidth="1"/>
    <col min="10" max="10" width="31.42578125" customWidth="1"/>
  </cols>
  <sheetData>
    <row r="1" spans="1:14">
      <c r="A1" s="206" t="s">
        <v>41</v>
      </c>
      <c r="B1" s="206"/>
      <c r="C1" s="208"/>
      <c r="D1" s="88"/>
      <c r="E1" s="2"/>
      <c r="F1" s="206" t="s">
        <v>41</v>
      </c>
      <c r="G1" s="206"/>
      <c r="H1" s="206"/>
      <c r="J1" s="206" t="s">
        <v>41</v>
      </c>
      <c r="K1" s="206"/>
      <c r="L1" s="206"/>
    </row>
    <row r="2" spans="1:14">
      <c r="A2" s="206" t="s">
        <v>42</v>
      </c>
      <c r="B2" s="206"/>
      <c r="C2" s="208"/>
      <c r="D2" s="88"/>
      <c r="E2" s="2"/>
      <c r="F2" s="206" t="s">
        <v>43</v>
      </c>
      <c r="G2" s="206"/>
      <c r="H2" s="206"/>
      <c r="J2" s="206" t="s">
        <v>44</v>
      </c>
      <c r="K2" s="207"/>
      <c r="L2" s="207"/>
    </row>
    <row r="3" spans="1:14">
      <c r="A3" s="206" t="s">
        <v>45</v>
      </c>
      <c r="B3" s="206"/>
      <c r="C3" s="208"/>
      <c r="D3" s="25"/>
      <c r="E3" s="5"/>
      <c r="F3" s="211" t="s">
        <v>46</v>
      </c>
      <c r="G3" s="211"/>
      <c r="H3" s="211"/>
      <c r="J3" s="208" t="s">
        <v>47</v>
      </c>
      <c r="K3" s="209"/>
      <c r="L3" s="210"/>
    </row>
    <row r="4" spans="1:14">
      <c r="A4" s="96" t="s">
        <v>48</v>
      </c>
      <c r="B4" s="77"/>
      <c r="C4" s="77"/>
      <c r="D4" s="77">
        <v>2024</v>
      </c>
      <c r="E4" s="2"/>
      <c r="F4" s="78"/>
      <c r="G4" s="79"/>
      <c r="H4" s="90">
        <v>2024</v>
      </c>
      <c r="J4" s="83" t="s">
        <v>49</v>
      </c>
      <c r="K4" s="83"/>
      <c r="L4" s="91"/>
    </row>
    <row r="5" spans="1:14">
      <c r="A5" t="s">
        <v>50</v>
      </c>
      <c r="D5" s="62">
        <v>250</v>
      </c>
      <c r="E5" s="2"/>
      <c r="F5" s="60" t="s">
        <v>51</v>
      </c>
      <c r="H5" s="64">
        <f>'Start Up and Sales'!B21</f>
        <v>25362.5</v>
      </c>
      <c r="I5" s="2"/>
      <c r="J5" s="60" t="s">
        <v>52</v>
      </c>
      <c r="K5" s="61">
        <f>H15</f>
        <v>6771.402</v>
      </c>
      <c r="L5" s="49"/>
    </row>
    <row r="6" spans="1:14">
      <c r="A6" t="s">
        <v>53</v>
      </c>
      <c r="D6" s="49">
        <v>0</v>
      </c>
      <c r="E6" s="2"/>
      <c r="F6" s="69" t="s">
        <v>54</v>
      </c>
      <c r="G6" s="51"/>
      <c r="H6" s="65">
        <f>'Start Up and Sales'!B20</f>
        <v>15110.375</v>
      </c>
      <c r="J6" s="60" t="s">
        <v>55</v>
      </c>
      <c r="K6" s="61">
        <f>H10</f>
        <v>55.400000000000006</v>
      </c>
      <c r="L6" s="49"/>
    </row>
    <row r="7" spans="1:14">
      <c r="A7" t="s">
        <v>56</v>
      </c>
      <c r="D7" s="49">
        <v>0</v>
      </c>
      <c r="E7" s="2"/>
      <c r="F7" s="70" t="s">
        <v>57</v>
      </c>
      <c r="G7" s="41"/>
      <c r="H7" s="66">
        <f>H5-H6</f>
        <v>10252.125</v>
      </c>
      <c r="J7" s="60" t="s">
        <v>58</v>
      </c>
      <c r="K7" s="60">
        <v>0</v>
      </c>
      <c r="L7" s="49"/>
    </row>
    <row r="8" spans="1:14">
      <c r="A8" s="38" t="s">
        <v>59</v>
      </c>
      <c r="D8" s="62">
        <f>SUM(D5:D7)</f>
        <v>250</v>
      </c>
      <c r="E8" s="2"/>
      <c r="F8" s="60" t="s">
        <v>60</v>
      </c>
      <c r="H8" s="64">
        <v>0</v>
      </c>
      <c r="J8" s="60" t="s">
        <v>61</v>
      </c>
      <c r="K8" s="60">
        <v>0</v>
      </c>
      <c r="L8" s="49"/>
    </row>
    <row r="9" spans="1:14">
      <c r="A9" t="s">
        <v>62</v>
      </c>
      <c r="D9" s="62">
        <f>SUM('Start Up and Sales'!B3+'Start Up and Sales'!B4+'Start Up and Sales'!B5)</f>
        <v>537</v>
      </c>
      <c r="E9" s="2"/>
      <c r="F9" s="45" t="s">
        <v>63</v>
      </c>
      <c r="G9" s="46"/>
      <c r="H9" s="80">
        <f>'Start Up and Sales'!B6*4</f>
        <v>792</v>
      </c>
      <c r="J9" s="60" t="s">
        <v>64</v>
      </c>
      <c r="K9" s="60">
        <v>0</v>
      </c>
      <c r="L9" s="49"/>
    </row>
    <row r="10" spans="1:14">
      <c r="A10" t="s">
        <v>65</v>
      </c>
      <c r="D10" s="49">
        <v>0</v>
      </c>
      <c r="F10" s="69" t="s">
        <v>55</v>
      </c>
      <c r="G10" s="51"/>
      <c r="H10" s="65">
        <f>(('Start Up and Sales'!B3-'Financial Statements'!H21)/5 + ('Start Up and Sales'!B5-'Financial Statements'!H24)/5 + ('Start Up and Sales'!B4-'Financial Statements'!H27)/5)</f>
        <v>55.400000000000006</v>
      </c>
      <c r="J10" s="84" t="s">
        <v>66</v>
      </c>
      <c r="K10" s="84">
        <v>0</v>
      </c>
      <c r="L10" s="54"/>
    </row>
    <row r="11" spans="1:14">
      <c r="A11" s="38" t="s">
        <v>67</v>
      </c>
      <c r="D11" s="62">
        <f>D9-D10</f>
        <v>537</v>
      </c>
      <c r="F11" s="69" t="s">
        <v>68</v>
      </c>
      <c r="G11" s="51"/>
      <c r="H11" s="65">
        <f>H7-SUM(H8:H10)</f>
        <v>9404.7250000000004</v>
      </c>
      <c r="J11" s="85" t="s">
        <v>69</v>
      </c>
      <c r="K11" s="61"/>
      <c r="L11" s="62">
        <f>SUM(K5+K7+K8+K9)-K6</f>
        <v>6716.0020000000004</v>
      </c>
    </row>
    <row r="12" spans="1:14">
      <c r="A12" s="38" t="s">
        <v>70</v>
      </c>
      <c r="D12" s="62">
        <f>SUM(D8+D11)</f>
        <v>787</v>
      </c>
      <c r="F12" s="60" t="s">
        <v>71</v>
      </c>
      <c r="G12" s="74"/>
      <c r="H12" s="95">
        <v>0</v>
      </c>
      <c r="J12" s="86" t="s">
        <v>72</v>
      </c>
      <c r="K12" s="42"/>
      <c r="L12" s="92"/>
    </row>
    <row r="13" spans="1:14">
      <c r="A13" s="52" t="s">
        <v>73</v>
      </c>
      <c r="B13" s="53"/>
      <c r="C13" s="81"/>
      <c r="D13" s="82"/>
      <c r="F13" s="71" t="s">
        <v>74</v>
      </c>
      <c r="G13" s="72"/>
      <c r="H13" s="73">
        <f>H11</f>
        <v>9404.7250000000004</v>
      </c>
      <c r="J13" s="89" t="s">
        <v>75</v>
      </c>
      <c r="K13" s="43"/>
      <c r="L13" s="93">
        <v>0</v>
      </c>
    </row>
    <row r="14" spans="1:14">
      <c r="A14" t="s">
        <v>76</v>
      </c>
      <c r="D14" s="49">
        <v>0</v>
      </c>
      <c r="F14" s="69" t="s">
        <v>77</v>
      </c>
      <c r="G14" s="58"/>
      <c r="H14" s="67">
        <f>H13*G18</f>
        <v>2633.3230000000003</v>
      </c>
      <c r="J14" s="86" t="s">
        <v>78</v>
      </c>
      <c r="K14" s="42"/>
      <c r="L14" s="92"/>
      <c r="N14" s="2"/>
    </row>
    <row r="15" spans="1:14">
      <c r="A15" t="s">
        <v>79</v>
      </c>
      <c r="D15" s="49">
        <v>0</v>
      </c>
      <c r="F15" s="59" t="s">
        <v>52</v>
      </c>
      <c r="G15" s="75"/>
      <c r="H15" s="76">
        <f>H13-H14</f>
        <v>6771.402</v>
      </c>
      <c r="J15" s="60" t="s">
        <v>80</v>
      </c>
      <c r="K15" s="60">
        <v>0</v>
      </c>
      <c r="L15" s="49"/>
    </row>
    <row r="16" spans="1:14">
      <c r="A16" s="39" t="s">
        <v>81</v>
      </c>
      <c r="D16" s="63">
        <v>0</v>
      </c>
      <c r="J16" s="60" t="s">
        <v>82</v>
      </c>
      <c r="K16" s="60">
        <v>0</v>
      </c>
      <c r="L16" s="49"/>
    </row>
    <row r="17" spans="1:14">
      <c r="A17" s="39" t="s">
        <v>83</v>
      </c>
      <c r="D17" s="49">
        <f>SUM(D14:D16)</f>
        <v>0</v>
      </c>
      <c r="F17" s="47" t="s">
        <v>84</v>
      </c>
      <c r="G17" s="97"/>
      <c r="H17" s="48"/>
      <c r="J17" s="60" t="s">
        <v>85</v>
      </c>
      <c r="K17" s="60">
        <v>0</v>
      </c>
      <c r="L17" s="49"/>
    </row>
    <row r="18" spans="1:14">
      <c r="A18" t="s">
        <v>86</v>
      </c>
      <c r="D18" s="49">
        <v>0</v>
      </c>
      <c r="F18" s="43" t="s">
        <v>87</v>
      </c>
      <c r="G18" s="98">
        <v>0.28000000000000003</v>
      </c>
      <c r="H18" s="44"/>
      <c r="J18" s="60" t="s">
        <v>88</v>
      </c>
      <c r="K18" s="60">
        <v>0</v>
      </c>
      <c r="L18" s="49"/>
    </row>
    <row r="19" spans="1:14">
      <c r="A19" s="40" t="s">
        <v>89</v>
      </c>
      <c r="D19" s="49">
        <f>D17+D18</f>
        <v>0</v>
      </c>
      <c r="F19" s="43"/>
      <c r="G19" s="5"/>
      <c r="H19" s="44"/>
      <c r="J19" s="60" t="s">
        <v>90</v>
      </c>
      <c r="K19" s="60"/>
      <c r="L19" s="49">
        <f>SUM(K15:K18)</f>
        <v>0</v>
      </c>
    </row>
    <row r="20" spans="1:14">
      <c r="A20" s="40" t="s">
        <v>91</v>
      </c>
      <c r="D20" s="49">
        <v>0</v>
      </c>
      <c r="F20" s="89" t="s">
        <v>92</v>
      </c>
      <c r="G20" s="5"/>
      <c r="H20" s="44"/>
      <c r="J20" s="87" t="s">
        <v>93</v>
      </c>
      <c r="K20" s="50"/>
      <c r="L20" s="94">
        <f>L19+L13+L11</f>
        <v>6716.0020000000004</v>
      </c>
    </row>
    <row r="21" spans="1:14">
      <c r="A21" t="s">
        <v>94</v>
      </c>
      <c r="D21" s="62">
        <f>H15</f>
        <v>6771.402</v>
      </c>
      <c r="F21" s="43" t="s">
        <v>95</v>
      </c>
      <c r="G21" s="5"/>
      <c r="H21" s="99">
        <v>250</v>
      </c>
    </row>
    <row r="22" spans="1:14">
      <c r="A22" s="58" t="s">
        <v>96</v>
      </c>
      <c r="B22" s="58"/>
      <c r="C22" s="51"/>
      <c r="D22" s="68">
        <f>D20+D21</f>
        <v>6771.402</v>
      </c>
      <c r="E22" s="2"/>
      <c r="F22" s="43" t="s">
        <v>97</v>
      </c>
      <c r="G22" s="5"/>
      <c r="H22" s="44">
        <v>5</v>
      </c>
      <c r="J22" s="74"/>
      <c r="K22" s="2"/>
      <c r="L22" s="2"/>
      <c r="M22" s="2"/>
      <c r="N22" s="2"/>
    </row>
    <row r="23" spans="1:14">
      <c r="A23" s="55" t="s">
        <v>98</v>
      </c>
      <c r="B23" s="56"/>
      <c r="C23" s="57"/>
      <c r="D23" s="55">
        <f>D19+D22</f>
        <v>6771.402</v>
      </c>
      <c r="E23" s="2"/>
      <c r="F23" s="43"/>
      <c r="G23" s="5"/>
      <c r="H23" s="44"/>
      <c r="J23" s="2"/>
      <c r="K23" s="2"/>
      <c r="L23" s="2"/>
      <c r="M23" s="2"/>
    </row>
    <row r="24" spans="1:14">
      <c r="E24" s="2"/>
      <c r="F24" s="43" t="s">
        <v>99</v>
      </c>
      <c r="G24" s="5"/>
      <c r="H24" s="99">
        <v>5</v>
      </c>
    </row>
    <row r="25" spans="1:14">
      <c r="F25" s="43" t="s">
        <v>100</v>
      </c>
      <c r="G25" s="5"/>
      <c r="H25" s="44">
        <v>5</v>
      </c>
    </row>
    <row r="26" spans="1:14">
      <c r="F26" s="43"/>
      <c r="G26" s="5"/>
      <c r="H26" s="44"/>
    </row>
    <row r="27" spans="1:14">
      <c r="F27" s="43" t="s">
        <v>101</v>
      </c>
      <c r="G27" s="5"/>
      <c r="H27" s="99">
        <v>5</v>
      </c>
    </row>
    <row r="28" spans="1:14">
      <c r="F28" s="100" t="s">
        <v>97</v>
      </c>
      <c r="G28" s="101"/>
      <c r="H28" s="102">
        <v>5</v>
      </c>
    </row>
  </sheetData>
  <mergeCells count="9">
    <mergeCell ref="J1:L1"/>
    <mergeCell ref="J2:L2"/>
    <mergeCell ref="J3:L3"/>
    <mergeCell ref="A1:C1"/>
    <mergeCell ref="A2:C2"/>
    <mergeCell ref="A3:C3"/>
    <mergeCell ref="F1:H1"/>
    <mergeCell ref="F2:H2"/>
    <mergeCell ref="F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4F15-4E43-4B6B-B66F-9FA4BBB4190B}">
  <dimension ref="A1:O107"/>
  <sheetViews>
    <sheetView topLeftCell="A40" workbookViewId="0">
      <selection activeCell="K57" sqref="K57"/>
    </sheetView>
  </sheetViews>
  <sheetFormatPr defaultRowHeight="15"/>
  <cols>
    <col min="5" max="5" width="12.5703125" customWidth="1"/>
    <col min="11" max="11" width="11" customWidth="1"/>
    <col min="12" max="12" width="11.140625" customWidth="1"/>
    <col min="13" max="13" width="11.85546875" customWidth="1"/>
    <col min="14" max="14" width="12" customWidth="1"/>
    <col min="15" max="15" width="12.42578125" customWidth="1"/>
  </cols>
  <sheetData>
    <row r="1" spans="1:15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</row>
    <row r="2" spans="1:15" ht="21">
      <c r="A2" s="104" t="s">
        <v>102</v>
      </c>
      <c r="B2" s="105" t="s">
        <v>103</v>
      </c>
      <c r="C2" s="104" t="s">
        <v>102</v>
      </c>
      <c r="D2" s="104" t="s">
        <v>102</v>
      </c>
      <c r="E2" s="104" t="s">
        <v>102</v>
      </c>
      <c r="F2" s="104" t="s">
        <v>102</v>
      </c>
      <c r="G2" s="104" t="s">
        <v>102</v>
      </c>
      <c r="H2" s="104" t="s">
        <v>102</v>
      </c>
      <c r="I2" s="104" t="s">
        <v>102</v>
      </c>
      <c r="J2" s="104" t="s">
        <v>102</v>
      </c>
      <c r="K2" s="104" t="s">
        <v>102</v>
      </c>
      <c r="L2" s="104" t="s">
        <v>102</v>
      </c>
      <c r="M2" s="104" t="s">
        <v>102</v>
      </c>
      <c r="N2" s="104" t="s">
        <v>102</v>
      </c>
      <c r="O2" s="104" t="s">
        <v>102</v>
      </c>
    </row>
    <row r="3" spans="1:15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</row>
    <row r="4" spans="1:15">
      <c r="A4" s="103" t="s">
        <v>104</v>
      </c>
      <c r="B4" s="106" t="s">
        <v>105</v>
      </c>
      <c r="C4" s="107"/>
      <c r="D4" s="108" t="s">
        <v>102</v>
      </c>
      <c r="E4" s="108" t="s">
        <v>102</v>
      </c>
      <c r="F4" s="108" t="s">
        <v>102</v>
      </c>
      <c r="G4" s="108" t="s">
        <v>102</v>
      </c>
      <c r="H4" s="108" t="s">
        <v>102</v>
      </c>
      <c r="I4" s="108" t="s">
        <v>102</v>
      </c>
      <c r="J4" s="108" t="s">
        <v>102</v>
      </c>
      <c r="K4" s="108" t="s">
        <v>102</v>
      </c>
      <c r="L4" s="108" t="s">
        <v>102</v>
      </c>
      <c r="M4" s="108" t="s">
        <v>102</v>
      </c>
      <c r="N4" s="108" t="s">
        <v>102</v>
      </c>
      <c r="O4" s="108" t="s">
        <v>102</v>
      </c>
    </row>
    <row r="5" spans="1:15">
      <c r="A5" s="103"/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</row>
    <row r="6" spans="1:15">
      <c r="A6" s="103"/>
      <c r="B6" s="111" t="s">
        <v>106</v>
      </c>
      <c r="C6" s="112"/>
      <c r="D6" s="111" t="s">
        <v>102</v>
      </c>
      <c r="E6" s="111" t="s">
        <v>102</v>
      </c>
      <c r="F6" s="103"/>
      <c r="G6" s="111" t="s">
        <v>107</v>
      </c>
      <c r="H6" s="111" t="s">
        <v>102</v>
      </c>
      <c r="I6" s="111" t="s">
        <v>102</v>
      </c>
      <c r="J6" s="111" t="s">
        <v>102</v>
      </c>
      <c r="K6" s="103"/>
      <c r="L6" s="111" t="s">
        <v>108</v>
      </c>
      <c r="M6" s="112"/>
      <c r="N6" s="111" t="s">
        <v>5</v>
      </c>
      <c r="O6" s="111" t="s">
        <v>109</v>
      </c>
    </row>
    <row r="7" spans="1:15">
      <c r="A7" s="103"/>
      <c r="B7" s="103" t="s">
        <v>110</v>
      </c>
      <c r="C7" s="113"/>
      <c r="D7" s="103"/>
      <c r="E7" s="162">
        <f>J9</f>
        <v>9460.125</v>
      </c>
      <c r="F7" s="103"/>
      <c r="G7" s="115" t="s">
        <v>111</v>
      </c>
      <c r="H7" s="116"/>
      <c r="I7" s="103"/>
      <c r="J7" s="103"/>
      <c r="K7" s="103"/>
      <c r="L7" s="103" t="s">
        <v>112</v>
      </c>
      <c r="M7" s="103"/>
      <c r="N7" s="117" t="s">
        <v>113</v>
      </c>
      <c r="O7" s="118">
        <v>0.06</v>
      </c>
    </row>
    <row r="8" spans="1:15">
      <c r="A8" s="103"/>
      <c r="B8" s="104" t="s">
        <v>114</v>
      </c>
      <c r="C8" s="113"/>
      <c r="D8" s="104" t="s">
        <v>102</v>
      </c>
      <c r="E8" s="119">
        <v>10</v>
      </c>
      <c r="F8" s="103"/>
      <c r="G8" s="103" t="s">
        <v>20</v>
      </c>
      <c r="H8" s="103"/>
      <c r="I8" s="103"/>
      <c r="J8" s="164">
        <f>'Start Up and Sales'!B21</f>
        <v>25362.5</v>
      </c>
      <c r="K8" s="103"/>
      <c r="L8" s="103" t="s">
        <v>115</v>
      </c>
      <c r="M8" s="113"/>
      <c r="N8" s="120" t="s">
        <v>116</v>
      </c>
      <c r="O8" s="121">
        <v>0.12</v>
      </c>
    </row>
    <row r="9" spans="1:15">
      <c r="A9" s="103"/>
      <c r="B9" s="122" t="s">
        <v>117</v>
      </c>
      <c r="C9" s="123"/>
      <c r="D9" s="122"/>
      <c r="E9" s="165">
        <f>E7*E8</f>
        <v>94601.25</v>
      </c>
      <c r="F9" s="103"/>
      <c r="G9" s="103" t="s">
        <v>118</v>
      </c>
      <c r="H9" s="103"/>
      <c r="I9" s="103"/>
      <c r="J9" s="163">
        <f>'Financial Statements'!H11+'Financial Statements'!H10</f>
        <v>9460.125</v>
      </c>
      <c r="K9" s="125"/>
      <c r="L9" s="103"/>
      <c r="M9" s="103"/>
      <c r="N9" s="103"/>
      <c r="O9" s="103"/>
    </row>
    <row r="10" spans="1:15">
      <c r="A10" s="103"/>
      <c r="B10" s="104" t="s">
        <v>119</v>
      </c>
      <c r="C10" s="113"/>
      <c r="D10" s="104" t="s">
        <v>102</v>
      </c>
      <c r="E10" s="119">
        <f>'Financial Statements'!D19</f>
        <v>0</v>
      </c>
      <c r="F10" s="103"/>
      <c r="G10" s="103" t="s">
        <v>120</v>
      </c>
      <c r="H10" s="103"/>
      <c r="I10" s="103"/>
      <c r="J10" s="163">
        <f>'Financial Statements'!H10</f>
        <v>55.400000000000006</v>
      </c>
      <c r="K10" s="103"/>
      <c r="L10" s="111" t="s">
        <v>121</v>
      </c>
      <c r="M10" s="112"/>
      <c r="N10" s="111" t="s">
        <v>102</v>
      </c>
      <c r="O10" s="111" t="s">
        <v>102</v>
      </c>
    </row>
    <row r="11" spans="1:15">
      <c r="A11" s="103"/>
      <c r="B11" s="122" t="s">
        <v>122</v>
      </c>
      <c r="C11" s="123"/>
      <c r="D11" s="122"/>
      <c r="E11" s="124">
        <f>E9-E10</f>
        <v>94601.25</v>
      </c>
      <c r="F11" s="103"/>
      <c r="G11" s="103" t="s">
        <v>123</v>
      </c>
      <c r="H11" s="103"/>
      <c r="I11" s="103"/>
      <c r="J11" s="163">
        <f>'Financial Statements'!H8</f>
        <v>0</v>
      </c>
      <c r="K11" s="103"/>
      <c r="L11" s="103" t="s">
        <v>124</v>
      </c>
      <c r="M11" s="103"/>
      <c r="N11" s="103"/>
      <c r="O11" s="126">
        <f>O107</f>
        <v>0.21505953450831039</v>
      </c>
    </row>
    <row r="12" spans="1:15">
      <c r="A12" s="103"/>
      <c r="B12" s="103"/>
      <c r="C12" s="103"/>
      <c r="D12" s="103"/>
      <c r="E12" s="103"/>
      <c r="F12" s="103"/>
      <c r="G12" s="103" t="s">
        <v>125</v>
      </c>
      <c r="H12" s="103"/>
      <c r="I12" s="103"/>
      <c r="J12" s="163">
        <f>'Financial Statements'!D8-'Financial Statements'!D17</f>
        <v>250</v>
      </c>
      <c r="K12" s="103"/>
      <c r="L12" s="103"/>
      <c r="M12" s="103"/>
      <c r="N12" s="103"/>
      <c r="O12" s="103"/>
    </row>
    <row r="13" spans="1:15">
      <c r="A13" s="103"/>
      <c r="B13" s="103" t="s">
        <v>126</v>
      </c>
      <c r="C13" s="113"/>
      <c r="D13" s="103"/>
      <c r="E13" s="117">
        <v>50</v>
      </c>
      <c r="F13" s="103"/>
      <c r="G13" s="103"/>
      <c r="H13" s="103"/>
      <c r="I13" s="103"/>
      <c r="J13" s="103"/>
      <c r="K13" s="103"/>
      <c r="L13" s="103"/>
      <c r="M13" s="103"/>
      <c r="N13" s="103"/>
      <c r="O13" s="103"/>
    </row>
    <row r="14" spans="1:15">
      <c r="A14" s="103"/>
      <c r="B14" s="103"/>
      <c r="C14" s="103"/>
      <c r="D14" s="103"/>
      <c r="E14" s="125"/>
      <c r="F14" s="103"/>
      <c r="G14" s="115" t="s">
        <v>127</v>
      </c>
      <c r="H14" s="116"/>
      <c r="I14" s="116"/>
      <c r="J14" s="103"/>
      <c r="K14" s="103"/>
      <c r="L14" s="103"/>
      <c r="M14" s="103"/>
      <c r="N14" s="103"/>
      <c r="O14" s="103"/>
    </row>
    <row r="15" spans="1:15">
      <c r="A15" s="103"/>
      <c r="B15" s="111" t="s">
        <v>128</v>
      </c>
      <c r="C15" s="112"/>
      <c r="D15" s="111" t="s">
        <v>102</v>
      </c>
      <c r="E15" s="111" t="s">
        <v>102</v>
      </c>
      <c r="F15" s="103"/>
      <c r="G15" s="103" t="s">
        <v>129</v>
      </c>
      <c r="H15" s="113"/>
      <c r="I15" s="103"/>
      <c r="J15" s="127">
        <v>7.0000000000000007E-2</v>
      </c>
      <c r="K15" s="103"/>
      <c r="L15" s="103"/>
      <c r="M15" s="103"/>
      <c r="N15" s="103"/>
      <c r="O15" s="103"/>
    </row>
    <row r="16" spans="1:15">
      <c r="A16" s="103"/>
      <c r="B16" s="103" t="s">
        <v>130</v>
      </c>
      <c r="C16" s="113"/>
      <c r="D16" s="103"/>
      <c r="E16" s="196">
        <v>10</v>
      </c>
      <c r="F16" s="103"/>
      <c r="G16" s="103" t="s">
        <v>131</v>
      </c>
      <c r="H16" s="113"/>
      <c r="I16" s="103"/>
      <c r="J16" s="128">
        <v>0.01</v>
      </c>
      <c r="K16" s="103"/>
      <c r="L16" s="103"/>
      <c r="M16" s="103"/>
      <c r="N16" s="103"/>
      <c r="O16" s="103"/>
    </row>
    <row r="17" spans="1:15">
      <c r="A17" s="103"/>
      <c r="B17" s="103"/>
      <c r="C17" s="103"/>
      <c r="D17" s="103"/>
      <c r="E17" s="103"/>
      <c r="F17" s="103"/>
      <c r="G17" s="103" t="s">
        <v>87</v>
      </c>
      <c r="H17" s="103"/>
      <c r="I17" s="103"/>
      <c r="J17" s="128">
        <v>0.28000000000000003</v>
      </c>
      <c r="K17" s="103"/>
      <c r="L17" s="103"/>
      <c r="M17" s="103"/>
      <c r="N17" s="103"/>
      <c r="O17" s="103"/>
    </row>
    <row r="18" spans="1:15">
      <c r="A18" s="103"/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</row>
    <row r="19" spans="1:15">
      <c r="A19" s="103" t="s">
        <v>104</v>
      </c>
      <c r="B19" s="106" t="s">
        <v>132</v>
      </c>
      <c r="C19" s="107"/>
      <c r="D19" s="108" t="s">
        <v>102</v>
      </c>
      <c r="E19" s="108" t="s">
        <v>102</v>
      </c>
      <c r="F19" s="108" t="s">
        <v>102</v>
      </c>
      <c r="G19" s="108" t="s">
        <v>102</v>
      </c>
      <c r="H19" s="108" t="s">
        <v>102</v>
      </c>
      <c r="I19" s="108" t="s">
        <v>102</v>
      </c>
      <c r="J19" s="108" t="s">
        <v>102</v>
      </c>
      <c r="K19" s="108" t="s">
        <v>102</v>
      </c>
      <c r="L19" s="108" t="s">
        <v>102</v>
      </c>
      <c r="M19" s="108" t="s">
        <v>102</v>
      </c>
      <c r="N19" s="108" t="s">
        <v>102</v>
      </c>
      <c r="O19" s="108" t="s">
        <v>102</v>
      </c>
    </row>
    <row r="20" spans="1:15">
      <c r="A20" s="103"/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</row>
    <row r="21" spans="1:15">
      <c r="A21" s="103"/>
      <c r="B21" s="111" t="s">
        <v>133</v>
      </c>
      <c r="C21" s="111" t="s">
        <v>102</v>
      </c>
      <c r="D21" s="111" t="s">
        <v>102</v>
      </c>
      <c r="E21" s="111" t="s">
        <v>102</v>
      </c>
      <c r="F21" s="111" t="s">
        <v>102</v>
      </c>
      <c r="G21" s="111" t="s">
        <v>102</v>
      </c>
      <c r="H21" s="103"/>
      <c r="I21" s="103"/>
      <c r="J21" s="111" t="s">
        <v>134</v>
      </c>
      <c r="K21" s="111" t="s">
        <v>102</v>
      </c>
      <c r="L21" s="111" t="s">
        <v>102</v>
      </c>
      <c r="M21" s="111" t="s">
        <v>102</v>
      </c>
      <c r="N21" s="111" t="s">
        <v>102</v>
      </c>
      <c r="O21" s="111" t="s">
        <v>102</v>
      </c>
    </row>
    <row r="22" spans="1:15">
      <c r="A22" s="103"/>
      <c r="B22" s="103"/>
      <c r="C22" s="103"/>
      <c r="D22" s="103"/>
      <c r="E22" s="115" t="s">
        <v>5</v>
      </c>
      <c r="F22" s="115" t="s">
        <v>135</v>
      </c>
      <c r="G22" s="115" t="s">
        <v>136</v>
      </c>
      <c r="H22" s="103"/>
      <c r="I22" s="103"/>
      <c r="J22" s="103"/>
      <c r="K22" s="103"/>
      <c r="L22" s="103"/>
      <c r="M22" s="115" t="s">
        <v>5</v>
      </c>
      <c r="N22" s="115" t="s">
        <v>135</v>
      </c>
      <c r="O22" s="115" t="s">
        <v>136</v>
      </c>
    </row>
    <row r="23" spans="1:15">
      <c r="A23" s="103"/>
      <c r="B23" s="103" t="s">
        <v>112</v>
      </c>
      <c r="C23" s="103"/>
      <c r="D23" s="103"/>
      <c r="E23" s="166">
        <f>F23*$J$9</f>
        <v>37840.5</v>
      </c>
      <c r="F23" s="114">
        <v>4</v>
      </c>
      <c r="G23" s="172">
        <f>E23/$E$29</f>
        <v>0.3997886979833864</v>
      </c>
      <c r="H23" s="103"/>
      <c r="I23" s="103"/>
      <c r="J23" s="103" t="s">
        <v>137</v>
      </c>
      <c r="K23" s="103"/>
      <c r="L23" s="103"/>
      <c r="M23" s="114">
        <f>E10</f>
        <v>0</v>
      </c>
      <c r="N23" s="170">
        <f>M23/J9</f>
        <v>0</v>
      </c>
      <c r="O23" s="172">
        <f>M23/$M$29</f>
        <v>0</v>
      </c>
    </row>
    <row r="24" spans="1:15">
      <c r="A24" s="103"/>
      <c r="B24" s="104" t="s">
        <v>115</v>
      </c>
      <c r="C24" s="113"/>
      <c r="D24" s="104" t="s">
        <v>102</v>
      </c>
      <c r="E24" s="166">
        <f>F24*$J$9</f>
        <v>18920.25</v>
      </c>
      <c r="F24" s="129">
        <v>2</v>
      </c>
      <c r="G24" s="172">
        <f>E24/$E$29</f>
        <v>0.1998943489916932</v>
      </c>
      <c r="H24" s="103"/>
      <c r="I24" s="103"/>
      <c r="J24" s="103" t="s">
        <v>138</v>
      </c>
      <c r="K24" s="103"/>
      <c r="L24" s="103"/>
      <c r="M24" s="168">
        <f>E11</f>
        <v>94601.25</v>
      </c>
      <c r="N24" s="170">
        <f>M24/J9</f>
        <v>10</v>
      </c>
      <c r="O24" s="172">
        <f>M24/$M$29</f>
        <v>0.99947174495846591</v>
      </c>
    </row>
    <row r="25" spans="1:15">
      <c r="A25" s="103"/>
      <c r="B25" s="122" t="s">
        <v>139</v>
      </c>
      <c r="C25" s="122"/>
      <c r="D25" s="122"/>
      <c r="E25" s="167">
        <f>SUM(E23:E24)</f>
        <v>56760.75</v>
      </c>
      <c r="F25" s="122">
        <f>SUM(F23:F24)</f>
        <v>6</v>
      </c>
      <c r="G25" s="172">
        <f t="shared" ref="G24:G30" si="0">E25/$E$29</f>
        <v>0.59968304697507957</v>
      </c>
      <c r="H25" s="103"/>
      <c r="I25" s="103"/>
      <c r="J25" s="103"/>
      <c r="K25" s="103"/>
      <c r="L25" s="103"/>
      <c r="M25" s="103"/>
      <c r="N25" s="103"/>
      <c r="O25" s="103"/>
    </row>
    <row r="26" spans="1:15">
      <c r="A26" s="103"/>
      <c r="B26" s="103"/>
      <c r="C26" s="103"/>
      <c r="D26" s="103"/>
      <c r="E26" s="103"/>
      <c r="F26" s="103"/>
      <c r="G26" s="172"/>
      <c r="H26" s="103"/>
      <c r="I26" s="103"/>
      <c r="J26" s="103" t="s">
        <v>140</v>
      </c>
      <c r="K26" s="103"/>
      <c r="L26" s="103"/>
      <c r="M26" s="114">
        <v>50</v>
      </c>
      <c r="N26" s="170">
        <f>M26/J9</f>
        <v>5.2853424241223025E-3</v>
      </c>
      <c r="O26" s="172">
        <f t="shared" ref="O25:O29" si="1">M26/$M$29</f>
        <v>5.2825504153405261E-4</v>
      </c>
    </row>
    <row r="27" spans="1:15">
      <c r="A27" s="103"/>
      <c r="B27" s="103" t="s">
        <v>141</v>
      </c>
      <c r="C27" s="113"/>
      <c r="D27" s="103"/>
      <c r="E27" s="166">
        <f>E29-E25</f>
        <v>37890.5</v>
      </c>
      <c r="F27" s="170">
        <f>E27/J9</f>
        <v>4.0052853424241226</v>
      </c>
      <c r="G27" s="172">
        <f t="shared" si="0"/>
        <v>0.40031695302492043</v>
      </c>
      <c r="H27" s="103"/>
      <c r="I27" s="103"/>
      <c r="J27" s="103"/>
      <c r="K27" s="103"/>
      <c r="L27" s="103"/>
      <c r="M27" s="103"/>
      <c r="N27" s="103"/>
      <c r="O27" s="103"/>
    </row>
    <row r="28" spans="1:15">
      <c r="A28" s="103"/>
      <c r="B28" s="103"/>
      <c r="C28" s="103"/>
      <c r="D28" s="103"/>
      <c r="E28" s="103"/>
      <c r="F28" s="103"/>
      <c r="G28" s="172"/>
      <c r="H28" s="103"/>
      <c r="I28" s="103"/>
      <c r="J28" s="103"/>
      <c r="K28" s="103"/>
      <c r="L28" s="103"/>
      <c r="M28" s="103"/>
      <c r="N28" s="103"/>
      <c r="O28" s="103"/>
    </row>
    <row r="29" spans="1:15">
      <c r="A29" s="103"/>
      <c r="B29" s="130" t="s">
        <v>142</v>
      </c>
      <c r="C29" s="131"/>
      <c r="D29" s="132" t="s">
        <v>102</v>
      </c>
      <c r="E29" s="169">
        <f>M29</f>
        <v>94651.25</v>
      </c>
      <c r="F29" s="171">
        <f>N29</f>
        <v>10.010570684848243</v>
      </c>
      <c r="G29" s="173">
        <f t="shared" si="0"/>
        <v>1</v>
      </c>
      <c r="H29" s="103"/>
      <c r="I29" s="103"/>
      <c r="J29" s="130" t="s">
        <v>143</v>
      </c>
      <c r="K29" s="132" t="s">
        <v>102</v>
      </c>
      <c r="L29" s="132" t="s">
        <v>102</v>
      </c>
      <c r="M29" s="132">
        <f>SUM(M23:M24,M26)</f>
        <v>94651.25</v>
      </c>
      <c r="N29" s="171" cm="1">
        <f t="array" ref="N29">SUM(N23:N24+N26)</f>
        <v>10.010570684848243</v>
      </c>
      <c r="O29" s="172">
        <f t="shared" si="1"/>
        <v>1</v>
      </c>
    </row>
    <row r="30" spans="1:15">
      <c r="A30" s="103"/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</row>
    <row r="31" spans="1:15">
      <c r="A31" s="103"/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</row>
    <row r="32" spans="1:15">
      <c r="A32" s="103" t="s">
        <v>104</v>
      </c>
      <c r="B32" s="106" t="s">
        <v>107</v>
      </c>
      <c r="C32" s="108" t="s">
        <v>102</v>
      </c>
      <c r="D32" s="108" t="s">
        <v>102</v>
      </c>
      <c r="E32" s="108" t="s">
        <v>102</v>
      </c>
      <c r="F32" s="108" t="s">
        <v>102</v>
      </c>
      <c r="G32" s="108" t="s">
        <v>102</v>
      </c>
      <c r="H32" s="108" t="s">
        <v>102</v>
      </c>
      <c r="I32" s="108" t="s">
        <v>102</v>
      </c>
      <c r="J32" s="108" t="s">
        <v>102</v>
      </c>
      <c r="K32" s="108" t="s">
        <v>102</v>
      </c>
      <c r="L32" s="108" t="s">
        <v>102</v>
      </c>
      <c r="M32" s="108" t="s">
        <v>102</v>
      </c>
      <c r="N32" s="108" t="s">
        <v>102</v>
      </c>
      <c r="O32" s="108" t="s">
        <v>102</v>
      </c>
    </row>
    <row r="33" spans="1:15">
      <c r="A33" s="103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</row>
    <row r="34" spans="1:15">
      <c r="A34" s="103"/>
      <c r="B34" s="111" t="s">
        <v>144</v>
      </c>
      <c r="C34" s="112"/>
      <c r="D34" s="111" t="s">
        <v>102</v>
      </c>
      <c r="E34" s="111" t="s">
        <v>102</v>
      </c>
      <c r="F34" s="111" t="s">
        <v>102</v>
      </c>
      <c r="G34" s="111" t="s">
        <v>102</v>
      </c>
      <c r="H34" s="111" t="s">
        <v>102</v>
      </c>
      <c r="I34" s="111" t="s">
        <v>102</v>
      </c>
      <c r="J34" s="111" t="s">
        <v>145</v>
      </c>
      <c r="K34" s="111" t="s">
        <v>146</v>
      </c>
      <c r="L34" s="111" t="s">
        <v>147</v>
      </c>
      <c r="M34" s="111" t="s">
        <v>148</v>
      </c>
      <c r="N34" s="111" t="s">
        <v>149</v>
      </c>
      <c r="O34" s="111" t="s">
        <v>150</v>
      </c>
    </row>
    <row r="35" spans="1:15">
      <c r="A35" s="103"/>
      <c r="B35" s="103" t="s">
        <v>20</v>
      </c>
      <c r="C35" s="103"/>
      <c r="D35" s="103"/>
      <c r="E35" s="103"/>
      <c r="F35" s="103"/>
      <c r="G35" s="103"/>
      <c r="H35" s="103"/>
      <c r="I35" s="103"/>
      <c r="J35" s="174">
        <f>J8</f>
        <v>25362.5</v>
      </c>
      <c r="K35" s="176">
        <f>J35*(1+K36)</f>
        <v>27137.875</v>
      </c>
      <c r="L35" s="176">
        <f t="shared" ref="L35:O35" si="2">K35*(1+L36)</f>
        <v>29037.526250000003</v>
      </c>
      <c r="M35" s="176">
        <f t="shared" si="2"/>
        <v>31070.153087500006</v>
      </c>
      <c r="N35" s="176">
        <f t="shared" si="2"/>
        <v>33245.063803625009</v>
      </c>
      <c r="O35" s="176">
        <f t="shared" si="2"/>
        <v>35572.218269878766</v>
      </c>
    </row>
    <row r="36" spans="1:15">
      <c r="A36" s="103"/>
      <c r="B36" s="135" t="s">
        <v>151</v>
      </c>
      <c r="C36" s="136"/>
      <c r="D36" s="103"/>
      <c r="E36" s="103"/>
      <c r="F36" s="103"/>
      <c r="G36" s="103"/>
      <c r="H36" s="103"/>
      <c r="I36" s="103"/>
      <c r="J36" s="137" t="s">
        <v>102</v>
      </c>
      <c r="K36" s="175">
        <f>$J$15</f>
        <v>7.0000000000000007E-2</v>
      </c>
      <c r="L36" s="175">
        <f t="shared" ref="L36:O36" si="3">$J$15</f>
        <v>7.0000000000000007E-2</v>
      </c>
      <c r="M36" s="175">
        <f t="shared" si="3"/>
        <v>7.0000000000000007E-2</v>
      </c>
      <c r="N36" s="175">
        <f t="shared" si="3"/>
        <v>7.0000000000000007E-2</v>
      </c>
      <c r="O36" s="175">
        <f t="shared" si="3"/>
        <v>7.0000000000000007E-2</v>
      </c>
    </row>
    <row r="37" spans="1:15">
      <c r="A37" s="103"/>
      <c r="B37" s="103"/>
      <c r="C37" s="103"/>
      <c r="D37" s="103"/>
      <c r="E37" s="103"/>
      <c r="F37" s="103"/>
      <c r="G37" s="103"/>
      <c r="H37" s="103"/>
      <c r="I37" s="103"/>
      <c r="J37" s="137" t="s">
        <v>102</v>
      </c>
      <c r="K37" s="103"/>
      <c r="L37" s="103"/>
      <c r="M37" s="103"/>
      <c r="N37" s="103"/>
      <c r="O37" s="103"/>
    </row>
    <row r="38" spans="1:15">
      <c r="A38" s="103"/>
      <c r="B38" s="135" t="s">
        <v>118</v>
      </c>
      <c r="C38" s="103"/>
      <c r="D38" s="103"/>
      <c r="E38" s="103"/>
      <c r="F38" s="103"/>
      <c r="G38" s="103"/>
      <c r="H38" s="103"/>
      <c r="I38" s="103"/>
      <c r="J38" s="177">
        <f>J9</f>
        <v>9460.125</v>
      </c>
      <c r="K38" s="179">
        <f>K39*K35</f>
        <v>10393.7125</v>
      </c>
      <c r="L38" s="179">
        <f>L39*L35</f>
        <v>11411.6476375</v>
      </c>
      <c r="M38" s="179">
        <f>M39*M35</f>
        <v>12521.164503000002</v>
      </c>
      <c r="N38" s="179">
        <f>N39*N35</f>
        <v>13730.096656246254</v>
      </c>
      <c r="O38" s="179">
        <f>O39*O35</f>
        <v>15046.925604882283</v>
      </c>
    </row>
    <row r="39" spans="1:15">
      <c r="A39" s="103"/>
      <c r="B39" s="103" t="s">
        <v>152</v>
      </c>
      <c r="C39" s="103"/>
      <c r="D39" s="103"/>
      <c r="E39" s="103"/>
      <c r="F39" s="103"/>
      <c r="G39" s="103"/>
      <c r="H39" s="103"/>
      <c r="I39" s="103"/>
      <c r="J39" s="178">
        <f>J38/J35</f>
        <v>0.37299655002464266</v>
      </c>
      <c r="K39" s="172">
        <f>J39+$J$16</f>
        <v>0.38299655002464267</v>
      </c>
      <c r="L39" s="172">
        <f t="shared" ref="L39:O39" si="4">K39+$J$16</f>
        <v>0.39299655002464268</v>
      </c>
      <c r="M39" s="172">
        <f t="shared" si="4"/>
        <v>0.40299655002464269</v>
      </c>
      <c r="N39" s="172">
        <f t="shared" si="4"/>
        <v>0.41299655002464269</v>
      </c>
      <c r="O39" s="172">
        <f t="shared" si="4"/>
        <v>0.4229965500246427</v>
      </c>
    </row>
    <row r="40" spans="1:15">
      <c r="A40" s="103"/>
      <c r="B40" s="103"/>
      <c r="C40" s="103"/>
      <c r="D40" s="103"/>
      <c r="E40" s="103"/>
      <c r="F40" s="103"/>
      <c r="G40" s="103"/>
      <c r="H40" s="103"/>
      <c r="I40" s="103"/>
      <c r="J40" s="178"/>
      <c r="K40" s="172"/>
      <c r="L40" s="172"/>
      <c r="M40" s="172"/>
      <c r="N40" s="172"/>
      <c r="O40" s="172"/>
    </row>
    <row r="41" spans="1:15">
      <c r="A41" s="103"/>
      <c r="B41" s="103" t="s">
        <v>68</v>
      </c>
      <c r="C41" s="103"/>
      <c r="D41" s="103"/>
      <c r="E41" s="103"/>
      <c r="F41" s="103"/>
      <c r="G41" s="103"/>
      <c r="H41" s="103"/>
      <c r="I41" s="103"/>
      <c r="J41" s="182">
        <f>J9-J56</f>
        <v>9404.7250000000004</v>
      </c>
      <c r="K41" s="183">
        <f>K38-K56</f>
        <v>10334.434499999999</v>
      </c>
      <c r="L41" s="183">
        <f t="shared" ref="L41:O41" si="5">L38-L56</f>
        <v>11348.220177499999</v>
      </c>
      <c r="M41" s="183">
        <f t="shared" si="5"/>
        <v>12453.297120800002</v>
      </c>
      <c r="N41" s="183">
        <f t="shared" si="5"/>
        <v>13657.478557292254</v>
      </c>
      <c r="O41" s="183">
        <f t="shared" si="5"/>
        <v>14969.224239001502</v>
      </c>
    </row>
    <row r="42" spans="1:15">
      <c r="A42" s="103"/>
      <c r="B42" s="135" t="s">
        <v>153</v>
      </c>
      <c r="C42" s="103"/>
      <c r="D42" s="103"/>
      <c r="E42" s="103"/>
      <c r="F42" s="103"/>
      <c r="G42" s="103"/>
      <c r="H42" s="103"/>
      <c r="I42" s="103"/>
      <c r="J42" s="180">
        <f>J41/J35</f>
        <v>0.37081222276983739</v>
      </c>
      <c r="K42" s="184">
        <f>K41/K35</f>
        <v>0.38081222276983734</v>
      </c>
      <c r="L42" s="184">
        <f t="shared" ref="L42:O42" si="6">L41/L35</f>
        <v>0.39081222276983729</v>
      </c>
      <c r="M42" s="184">
        <f t="shared" si="6"/>
        <v>0.40081222276983736</v>
      </c>
      <c r="N42" s="184">
        <f t="shared" si="6"/>
        <v>0.41081222276983737</v>
      </c>
      <c r="O42" s="184">
        <f t="shared" si="6"/>
        <v>0.42081222276983737</v>
      </c>
    </row>
    <row r="43" spans="1:15">
      <c r="A43" s="103"/>
      <c r="B43" s="135"/>
      <c r="C43" s="103"/>
      <c r="D43" s="103"/>
      <c r="E43" s="103"/>
      <c r="F43" s="103"/>
      <c r="G43" s="103"/>
      <c r="H43" s="103"/>
      <c r="I43" s="103"/>
      <c r="J43" s="139" t="s">
        <v>102</v>
      </c>
      <c r="K43" s="141"/>
      <c r="L43" s="141"/>
      <c r="M43" s="141"/>
      <c r="N43" s="141"/>
      <c r="O43" s="141"/>
    </row>
    <row r="44" spans="1:15">
      <c r="A44" s="103"/>
      <c r="B44" s="103" t="s">
        <v>154</v>
      </c>
      <c r="C44" s="103"/>
      <c r="D44" s="103"/>
      <c r="E44" s="103"/>
      <c r="F44" s="103"/>
      <c r="G44" s="103"/>
      <c r="H44" s="103"/>
      <c r="I44" s="103"/>
      <c r="J44" s="137"/>
      <c r="K44" s="195">
        <f>K92</f>
        <v>4540.8599999999997</v>
      </c>
      <c r="L44" s="195">
        <f t="shared" ref="L44:O44" si="7">L92</f>
        <v>4540.8599999999997</v>
      </c>
      <c r="M44" s="195">
        <f t="shared" si="7"/>
        <v>4540.8599999999997</v>
      </c>
      <c r="N44" s="195">
        <f t="shared" si="7"/>
        <v>4540.8599999999997</v>
      </c>
      <c r="O44" s="195">
        <f t="shared" si="7"/>
        <v>4540.8599999999997</v>
      </c>
    </row>
    <row r="45" spans="1:15">
      <c r="A45" s="103"/>
      <c r="B45" s="103"/>
      <c r="C45" s="103"/>
      <c r="D45" s="103"/>
      <c r="E45" s="103"/>
      <c r="F45" s="103"/>
      <c r="G45" s="103"/>
      <c r="H45" s="103"/>
      <c r="I45" s="103"/>
      <c r="J45" s="134" t="s">
        <v>102</v>
      </c>
      <c r="K45" s="103"/>
      <c r="L45" s="103"/>
      <c r="M45" s="103"/>
      <c r="N45" s="103"/>
      <c r="O45" s="103"/>
    </row>
    <row r="46" spans="1:15">
      <c r="A46" s="103"/>
      <c r="B46" s="103" t="s">
        <v>155</v>
      </c>
      <c r="C46" s="103"/>
      <c r="D46" s="103"/>
      <c r="E46" s="103"/>
      <c r="F46" s="103"/>
      <c r="G46" s="103"/>
      <c r="H46" s="103"/>
      <c r="I46" s="103"/>
      <c r="J46" s="185"/>
      <c r="K46" s="166">
        <f>J41-J44</f>
        <v>9404.7250000000004</v>
      </c>
      <c r="L46" s="166">
        <f>K41-K44</f>
        <v>5793.5744999999997</v>
      </c>
      <c r="M46" s="166">
        <f t="shared" ref="L46:O46" si="8">L41-L44</f>
        <v>6807.3601774999997</v>
      </c>
      <c r="N46" s="166">
        <f t="shared" si="8"/>
        <v>7912.437120800002</v>
      </c>
      <c r="O46" s="166">
        <f t="shared" si="8"/>
        <v>9116.618557292255</v>
      </c>
    </row>
    <row r="47" spans="1:15">
      <c r="A47" s="103"/>
      <c r="B47" s="135" t="s">
        <v>153</v>
      </c>
      <c r="C47" s="103"/>
      <c r="D47" s="103"/>
      <c r="E47" s="103"/>
      <c r="F47" s="103"/>
      <c r="G47" s="103"/>
      <c r="H47" s="103"/>
      <c r="I47" s="103"/>
      <c r="J47" s="186"/>
      <c r="K47" s="175">
        <f>K46/J35</f>
        <v>0.37081222276983739</v>
      </c>
      <c r="L47" s="175">
        <f t="shared" ref="L47:O47" si="9">L46/K35</f>
        <v>0.21348666761859578</v>
      </c>
      <c r="M47" s="175">
        <f t="shared" si="9"/>
        <v>0.23443319926400408</v>
      </c>
      <c r="N47" s="175">
        <f t="shared" si="9"/>
        <v>0.2546636026709278</v>
      </c>
      <c r="O47" s="175">
        <f t="shared" si="9"/>
        <v>0.27422472735029579</v>
      </c>
    </row>
    <row r="48" spans="1:15">
      <c r="A48" s="103"/>
      <c r="B48" s="103"/>
      <c r="C48" s="103"/>
      <c r="D48" s="103"/>
      <c r="E48" s="103"/>
      <c r="F48" s="103"/>
      <c r="G48" s="103"/>
      <c r="H48" s="103"/>
      <c r="I48" s="103"/>
      <c r="J48" s="137" t="s">
        <v>102</v>
      </c>
      <c r="K48" s="103"/>
      <c r="L48" s="103"/>
      <c r="M48" s="103"/>
      <c r="N48" s="103"/>
      <c r="O48" s="103"/>
    </row>
    <row r="49" spans="1:15">
      <c r="A49" s="103"/>
      <c r="B49" s="103" t="s">
        <v>77</v>
      </c>
      <c r="C49" s="103"/>
      <c r="D49" s="103"/>
      <c r="E49" s="103"/>
      <c r="F49" s="103"/>
      <c r="G49" s="103"/>
      <c r="H49" s="103"/>
      <c r="I49" s="103"/>
      <c r="J49" s="134" t="s">
        <v>102</v>
      </c>
      <c r="K49" s="183">
        <f>K46*K50</f>
        <v>2633.3230000000003</v>
      </c>
      <c r="L49" s="183">
        <f t="shared" ref="L49:O49" si="10">L46*L50</f>
        <v>1622.2008600000001</v>
      </c>
      <c r="M49" s="183">
        <f t="shared" si="10"/>
        <v>1906.0608497000001</v>
      </c>
      <c r="N49" s="183">
        <f t="shared" si="10"/>
        <v>2215.4823938240006</v>
      </c>
      <c r="O49" s="183">
        <f t="shared" si="10"/>
        <v>2552.6531960418315</v>
      </c>
    </row>
    <row r="50" spans="1:15">
      <c r="A50" s="103"/>
      <c r="B50" s="135" t="s">
        <v>156</v>
      </c>
      <c r="C50" s="136"/>
      <c r="D50" s="103"/>
      <c r="E50" s="103"/>
      <c r="F50" s="103"/>
      <c r="G50" s="103"/>
      <c r="H50" s="103"/>
      <c r="I50" s="103"/>
      <c r="J50" s="142" t="s">
        <v>102</v>
      </c>
      <c r="K50" s="175">
        <f>J17</f>
        <v>0.28000000000000003</v>
      </c>
      <c r="L50" s="175">
        <f>K50</f>
        <v>0.28000000000000003</v>
      </c>
      <c r="M50" s="175">
        <f>L50</f>
        <v>0.28000000000000003</v>
      </c>
      <c r="N50" s="175">
        <f>M50</f>
        <v>0.28000000000000003</v>
      </c>
      <c r="O50" s="175">
        <f>N50</f>
        <v>0.28000000000000003</v>
      </c>
    </row>
    <row r="51" spans="1:15">
      <c r="A51" s="103"/>
      <c r="B51" s="135"/>
      <c r="C51" s="103"/>
      <c r="D51" s="103"/>
      <c r="E51" s="103"/>
      <c r="F51" s="103"/>
      <c r="G51" s="103"/>
      <c r="H51" s="103"/>
      <c r="I51" s="103"/>
      <c r="J51" s="142" t="s">
        <v>102</v>
      </c>
      <c r="K51" s="138"/>
      <c r="L51" s="138"/>
      <c r="M51" s="138"/>
      <c r="N51" s="138"/>
      <c r="O51" s="138"/>
    </row>
    <row r="52" spans="1:15">
      <c r="A52" s="103"/>
      <c r="B52" s="103" t="s">
        <v>52</v>
      </c>
      <c r="C52" s="113"/>
      <c r="D52" s="103"/>
      <c r="E52" s="103"/>
      <c r="F52" s="103"/>
      <c r="G52" s="103"/>
      <c r="H52" s="103"/>
      <c r="I52" s="103"/>
      <c r="J52" s="137" t="s">
        <v>102</v>
      </c>
      <c r="K52" s="176">
        <f>K46-K49</f>
        <v>6771.402</v>
      </c>
      <c r="L52" s="176">
        <f t="shared" ref="L52:O52" si="11">L46-L49</f>
        <v>4171.3736399999998</v>
      </c>
      <c r="M52" s="176">
        <f t="shared" si="11"/>
        <v>4901.2993277999994</v>
      </c>
      <c r="N52" s="176">
        <f t="shared" si="11"/>
        <v>5696.9547269760014</v>
      </c>
      <c r="O52" s="176">
        <f t="shared" si="11"/>
        <v>6563.9653612504235</v>
      </c>
    </row>
    <row r="53" spans="1:15">
      <c r="A53" s="103"/>
      <c r="B53" s="135" t="s">
        <v>153</v>
      </c>
      <c r="C53" s="103"/>
      <c r="D53" s="103"/>
      <c r="E53" s="103"/>
      <c r="F53" s="103"/>
      <c r="G53" s="103"/>
      <c r="H53" s="103"/>
      <c r="I53" s="103"/>
      <c r="J53" s="142" t="s">
        <v>102</v>
      </c>
      <c r="K53" s="184">
        <f>K52/K35</f>
        <v>0.2495185050413859</v>
      </c>
      <c r="L53" s="184">
        <f t="shared" ref="L53:O53" si="12">L52/L35</f>
        <v>0.14365458007980275</v>
      </c>
      <c r="M53" s="184">
        <f t="shared" si="12"/>
        <v>0.1577494424954046</v>
      </c>
      <c r="N53" s="184">
        <f t="shared" si="12"/>
        <v>0.17136242422716635</v>
      </c>
      <c r="O53" s="184">
        <f t="shared" si="12"/>
        <v>0.18452505017963824</v>
      </c>
    </row>
    <row r="54" spans="1:15">
      <c r="A54" s="103" t="s">
        <v>104</v>
      </c>
      <c r="B54" s="135"/>
      <c r="C54" s="103"/>
      <c r="D54" s="103"/>
      <c r="E54" s="103"/>
      <c r="F54" s="103"/>
      <c r="G54" s="103"/>
      <c r="H54" s="103"/>
      <c r="I54" s="103"/>
      <c r="J54" s="137" t="s">
        <v>102</v>
      </c>
      <c r="K54" s="103"/>
      <c r="L54" s="103"/>
      <c r="M54" s="103"/>
      <c r="N54" s="103"/>
      <c r="O54" s="103"/>
    </row>
    <row r="55" spans="1:15">
      <c r="A55" s="103"/>
      <c r="B55" s="111" t="s">
        <v>157</v>
      </c>
      <c r="C55" s="112"/>
      <c r="D55" s="111" t="s">
        <v>102</v>
      </c>
      <c r="E55" s="111" t="s">
        <v>102</v>
      </c>
      <c r="F55" s="111" t="s">
        <v>102</v>
      </c>
      <c r="G55" s="111" t="s">
        <v>102</v>
      </c>
      <c r="H55" s="111" t="s">
        <v>102</v>
      </c>
      <c r="I55" s="111" t="s">
        <v>102</v>
      </c>
      <c r="J55" s="111" t="s">
        <v>145</v>
      </c>
      <c r="K55" s="111" t="s">
        <v>146</v>
      </c>
      <c r="L55" s="111" t="s">
        <v>147</v>
      </c>
      <c r="M55" s="111" t="s">
        <v>148</v>
      </c>
      <c r="N55" s="111" t="s">
        <v>149</v>
      </c>
      <c r="O55" s="111" t="s">
        <v>150</v>
      </c>
    </row>
    <row r="56" spans="1:15">
      <c r="A56" s="103"/>
      <c r="B56" s="103" t="s">
        <v>120</v>
      </c>
      <c r="C56" s="103"/>
      <c r="D56" s="103"/>
      <c r="E56" s="103"/>
      <c r="F56" s="103"/>
      <c r="G56" s="103"/>
      <c r="H56" s="103"/>
      <c r="I56" s="103"/>
      <c r="J56" s="134">
        <f>J10</f>
        <v>55.400000000000006</v>
      </c>
      <c r="K56" s="176">
        <f>K57*K35</f>
        <v>59.278000000000006</v>
      </c>
      <c r="L56" s="176">
        <f>L57*L35</f>
        <v>63.427460000000011</v>
      </c>
      <c r="M56" s="176">
        <f>M57*M35</f>
        <v>67.867382200000023</v>
      </c>
      <c r="N56" s="176">
        <f>N57*N35</f>
        <v>72.618098954000018</v>
      </c>
      <c r="O56" s="176">
        <f>O57*O35</f>
        <v>77.701365880780031</v>
      </c>
    </row>
    <row r="57" spans="1:15">
      <c r="A57" s="103"/>
      <c r="B57" s="135" t="s">
        <v>153</v>
      </c>
      <c r="C57" s="103"/>
      <c r="D57" s="103"/>
      <c r="E57" s="103"/>
      <c r="F57" s="103"/>
      <c r="G57" s="103"/>
      <c r="H57" s="103"/>
      <c r="I57" s="103"/>
      <c r="J57" s="180">
        <f>J56/J35</f>
        <v>2.1843272548053229E-3</v>
      </c>
      <c r="K57" s="184">
        <f>J56/J35</f>
        <v>2.1843272548053229E-3</v>
      </c>
      <c r="L57" s="184">
        <f>J56/J35</f>
        <v>2.1843272548053229E-3</v>
      </c>
      <c r="M57" s="184">
        <f>J56/J35</f>
        <v>2.1843272548053229E-3</v>
      </c>
      <c r="N57" s="184">
        <f>J56/J35</f>
        <v>2.1843272548053229E-3</v>
      </c>
      <c r="O57" s="184">
        <f>J56/J35</f>
        <v>2.1843272548053229E-3</v>
      </c>
    </row>
    <row r="58" spans="1:15">
      <c r="A58" s="103"/>
      <c r="B58" s="135"/>
      <c r="C58" s="103"/>
      <c r="D58" s="103"/>
      <c r="E58" s="103"/>
      <c r="F58" s="103"/>
      <c r="G58" s="103"/>
      <c r="H58" s="103"/>
      <c r="I58" s="103"/>
      <c r="J58" s="137" t="s">
        <v>102</v>
      </c>
      <c r="K58" s="103"/>
      <c r="L58" s="103"/>
      <c r="M58" s="103"/>
      <c r="N58" s="103"/>
      <c r="O58" s="103"/>
    </row>
    <row r="59" spans="1:15">
      <c r="A59" s="103"/>
      <c r="B59" s="103" t="s">
        <v>158</v>
      </c>
      <c r="C59" s="113"/>
      <c r="D59" s="103"/>
      <c r="E59" s="103"/>
      <c r="F59" s="103"/>
      <c r="G59" s="103"/>
      <c r="H59" s="103"/>
      <c r="I59" s="103"/>
      <c r="J59" s="174">
        <f>J12</f>
        <v>250</v>
      </c>
      <c r="K59" s="170">
        <f>K60*K35</f>
        <v>250</v>
      </c>
      <c r="L59" s="170">
        <f>L60*L35</f>
        <v>249.99999999999997</v>
      </c>
      <c r="M59" s="170">
        <f>M60*M35</f>
        <v>250.00000000000003</v>
      </c>
      <c r="N59" s="170">
        <f>N60*N35</f>
        <v>250</v>
      </c>
      <c r="O59" s="170">
        <f>O60*O35</f>
        <v>250</v>
      </c>
    </row>
    <row r="60" spans="1:15">
      <c r="A60" s="103"/>
      <c r="B60" s="135" t="s">
        <v>153</v>
      </c>
      <c r="C60" s="103"/>
      <c r="D60" s="103"/>
      <c r="E60" s="103"/>
      <c r="F60" s="103"/>
      <c r="G60" s="103"/>
      <c r="H60" s="103"/>
      <c r="I60" s="103"/>
      <c r="J60" s="181">
        <f>J12/J35</f>
        <v>9.857072449482503E-3</v>
      </c>
      <c r="K60" s="201">
        <f>J12/K35</f>
        <v>9.2122172425070127E-3</v>
      </c>
      <c r="L60" s="201">
        <f>J12/L35</f>
        <v>8.6095488247729078E-3</v>
      </c>
      <c r="M60" s="201">
        <f>J12/M35</f>
        <v>8.0463073128718768E-3</v>
      </c>
      <c r="N60" s="201">
        <f>J12/N35</f>
        <v>7.5199133765157713E-3</v>
      </c>
      <c r="O60" s="201">
        <f>J12/O35</f>
        <v>7.0279564266502526E-3</v>
      </c>
    </row>
    <row r="61" spans="1:15">
      <c r="A61" s="103"/>
      <c r="B61" s="103" t="s">
        <v>159</v>
      </c>
      <c r="C61" s="113"/>
      <c r="D61" s="113"/>
      <c r="E61" s="103"/>
      <c r="F61" s="103"/>
      <c r="G61" s="103"/>
      <c r="H61" s="103"/>
      <c r="I61" s="103"/>
      <c r="J61" s="143" t="s">
        <v>102</v>
      </c>
      <c r="K61" s="170">
        <f>K59-J59</f>
        <v>0</v>
      </c>
      <c r="L61" s="170">
        <f>L59-K59</f>
        <v>0</v>
      </c>
      <c r="M61" s="170">
        <f t="shared" ref="L61:O61" si="13">M59-L59</f>
        <v>0</v>
      </c>
      <c r="N61" s="170">
        <f t="shared" si="13"/>
        <v>0</v>
      </c>
      <c r="O61" s="170">
        <f t="shared" si="13"/>
        <v>0</v>
      </c>
    </row>
    <row r="62" spans="1:15">
      <c r="A62" s="103"/>
      <c r="B62" s="135"/>
      <c r="C62" s="103"/>
      <c r="D62" s="103"/>
      <c r="E62" s="103"/>
      <c r="F62" s="103"/>
      <c r="G62" s="103"/>
      <c r="H62" s="103"/>
      <c r="I62" s="103"/>
      <c r="J62" s="137" t="s">
        <v>102</v>
      </c>
      <c r="K62" s="103"/>
      <c r="L62" s="103"/>
      <c r="M62" s="103"/>
      <c r="N62" s="103"/>
      <c r="O62" s="103"/>
    </row>
    <row r="63" spans="1:15">
      <c r="A63" s="103"/>
      <c r="B63" s="103" t="s">
        <v>160</v>
      </c>
      <c r="C63" s="103"/>
      <c r="D63" s="103"/>
      <c r="E63" s="103"/>
      <c r="F63" s="103"/>
      <c r="G63" s="103"/>
      <c r="H63" s="103"/>
      <c r="I63" s="103"/>
      <c r="J63" s="137">
        <f>J11</f>
        <v>0</v>
      </c>
      <c r="K63" s="176">
        <f>$J$64*K35</f>
        <v>0</v>
      </c>
      <c r="L63" s="176">
        <f t="shared" ref="L63:O63" si="14">$J$64*L35</f>
        <v>0</v>
      </c>
      <c r="M63" s="176">
        <f t="shared" si="14"/>
        <v>0</v>
      </c>
      <c r="N63" s="176">
        <f t="shared" si="14"/>
        <v>0</v>
      </c>
      <c r="O63" s="176">
        <f t="shared" si="14"/>
        <v>0</v>
      </c>
    </row>
    <row r="64" spans="1:15">
      <c r="A64" s="103"/>
      <c r="B64" s="135" t="s">
        <v>153</v>
      </c>
      <c r="C64" s="103"/>
      <c r="D64" s="103"/>
      <c r="E64" s="103"/>
      <c r="F64" s="103"/>
      <c r="G64" s="103"/>
      <c r="H64" s="103"/>
      <c r="I64" s="103"/>
      <c r="J64" s="181">
        <f>J63/J35</f>
        <v>0</v>
      </c>
      <c r="K64" s="201">
        <f>K63/K35</f>
        <v>0</v>
      </c>
      <c r="L64" s="201">
        <f>L63/L35</f>
        <v>0</v>
      </c>
      <c r="M64" s="201">
        <f>M63/M35</f>
        <v>0</v>
      </c>
      <c r="N64" s="201">
        <f>N63/N35</f>
        <v>0</v>
      </c>
      <c r="O64" s="201">
        <f>O63/O35</f>
        <v>0</v>
      </c>
    </row>
    <row r="65" spans="1:15">
      <c r="A65" s="103" t="s">
        <v>104</v>
      </c>
      <c r="B65" s="103"/>
      <c r="C65" s="135"/>
      <c r="D65" s="103"/>
      <c r="E65" s="103"/>
      <c r="F65" s="103"/>
      <c r="G65" s="103"/>
      <c r="H65" s="103"/>
      <c r="I65" s="103"/>
      <c r="J65" s="137" t="s">
        <v>102</v>
      </c>
      <c r="K65" s="103"/>
      <c r="L65" s="103"/>
      <c r="M65" s="103"/>
      <c r="N65" s="103"/>
      <c r="O65" s="103"/>
    </row>
    <row r="66" spans="1:15">
      <c r="A66" s="103"/>
      <c r="B66" s="111" t="s">
        <v>161</v>
      </c>
      <c r="C66" s="112"/>
      <c r="D66" s="111" t="s">
        <v>102</v>
      </c>
      <c r="E66" s="111" t="s">
        <v>102</v>
      </c>
      <c r="F66" s="111" t="s">
        <v>102</v>
      </c>
      <c r="G66" s="111" t="s">
        <v>102</v>
      </c>
      <c r="H66" s="111" t="s">
        <v>102</v>
      </c>
      <c r="I66" s="111" t="s">
        <v>102</v>
      </c>
      <c r="J66" s="111" t="s">
        <v>145</v>
      </c>
      <c r="K66" s="111" t="s">
        <v>146</v>
      </c>
      <c r="L66" s="111" t="s">
        <v>147</v>
      </c>
      <c r="M66" s="111" t="s">
        <v>148</v>
      </c>
      <c r="N66" s="111" t="s">
        <v>149</v>
      </c>
      <c r="O66" s="111" t="s">
        <v>150</v>
      </c>
    </row>
    <row r="67" spans="1:15">
      <c r="A67" s="103"/>
      <c r="B67" s="103" t="s">
        <v>52</v>
      </c>
      <c r="C67" s="113"/>
      <c r="D67" s="103"/>
      <c r="E67" s="103"/>
      <c r="F67" s="103"/>
      <c r="G67" s="103"/>
      <c r="H67" s="103"/>
      <c r="I67" s="103"/>
      <c r="J67" s="137" t="s">
        <v>102</v>
      </c>
      <c r="K67" s="187">
        <f>K52</f>
        <v>6771.402</v>
      </c>
      <c r="L67" s="187">
        <f t="shared" ref="L67:O67" si="15">L52</f>
        <v>4171.3736399999998</v>
      </c>
      <c r="M67" s="187">
        <f t="shared" si="15"/>
        <v>4901.2993277999994</v>
      </c>
      <c r="N67" s="187">
        <f t="shared" si="15"/>
        <v>5696.9547269760014</v>
      </c>
      <c r="O67" s="187">
        <f t="shared" si="15"/>
        <v>6563.9653612504235</v>
      </c>
    </row>
    <row r="68" spans="1:15">
      <c r="A68" s="103"/>
      <c r="B68" s="103" t="s">
        <v>120</v>
      </c>
      <c r="C68" s="103"/>
      <c r="D68" s="103"/>
      <c r="E68" s="103"/>
      <c r="F68" s="103"/>
      <c r="G68" s="103"/>
      <c r="H68" s="103"/>
      <c r="I68" s="103"/>
      <c r="J68" s="137" t="s">
        <v>102</v>
      </c>
      <c r="K68" s="187">
        <f>K56</f>
        <v>59.278000000000006</v>
      </c>
      <c r="L68" s="187">
        <f t="shared" ref="L68:O68" si="16">L56</f>
        <v>63.427460000000011</v>
      </c>
      <c r="M68" s="187">
        <f t="shared" si="16"/>
        <v>67.867382200000023</v>
      </c>
      <c r="N68" s="187">
        <f t="shared" si="16"/>
        <v>72.618098954000018</v>
      </c>
      <c r="O68" s="187">
        <f t="shared" si="16"/>
        <v>77.701365880780031</v>
      </c>
    </row>
    <row r="69" spans="1:15">
      <c r="A69" s="103"/>
      <c r="B69" s="103" t="s">
        <v>160</v>
      </c>
      <c r="C69" s="103"/>
      <c r="D69" s="103"/>
      <c r="E69" s="103"/>
      <c r="F69" s="103"/>
      <c r="G69" s="103"/>
      <c r="H69" s="103"/>
      <c r="I69" s="103"/>
      <c r="J69" s="137" t="s">
        <v>102</v>
      </c>
      <c r="K69" s="187">
        <f>K63</f>
        <v>0</v>
      </c>
      <c r="L69" s="187">
        <f t="shared" ref="L69:O69" si="17">L63</f>
        <v>0</v>
      </c>
      <c r="M69" s="187">
        <f t="shared" si="17"/>
        <v>0</v>
      </c>
      <c r="N69" s="187">
        <f t="shared" si="17"/>
        <v>0</v>
      </c>
      <c r="O69" s="187">
        <f t="shared" si="17"/>
        <v>0</v>
      </c>
    </row>
    <row r="70" spans="1:15">
      <c r="A70" s="103"/>
      <c r="B70" s="104" t="s">
        <v>162</v>
      </c>
      <c r="C70" s="113"/>
      <c r="D70" s="104" t="s">
        <v>102</v>
      </c>
      <c r="E70" s="104" t="s">
        <v>102</v>
      </c>
      <c r="F70" s="104" t="s">
        <v>102</v>
      </c>
      <c r="G70" s="104" t="s">
        <v>102</v>
      </c>
      <c r="H70" s="104" t="s">
        <v>102</v>
      </c>
      <c r="I70" s="104" t="s">
        <v>102</v>
      </c>
      <c r="J70" s="144" t="s">
        <v>102</v>
      </c>
      <c r="K70" s="188">
        <f>K61</f>
        <v>0</v>
      </c>
      <c r="L70" s="188">
        <f t="shared" ref="L70:O70" si="18">L61</f>
        <v>0</v>
      </c>
      <c r="M70" s="188">
        <f t="shared" si="18"/>
        <v>0</v>
      </c>
      <c r="N70" s="188">
        <f t="shared" si="18"/>
        <v>0</v>
      </c>
      <c r="O70" s="188">
        <f t="shared" si="18"/>
        <v>0</v>
      </c>
    </row>
    <row r="71" spans="1:15">
      <c r="A71" s="103"/>
      <c r="B71" s="130" t="s">
        <v>161</v>
      </c>
      <c r="C71" s="131"/>
      <c r="D71" s="132" t="s">
        <v>102</v>
      </c>
      <c r="E71" s="132" t="s">
        <v>102</v>
      </c>
      <c r="F71" s="132" t="s">
        <v>102</v>
      </c>
      <c r="G71" s="132" t="s">
        <v>102</v>
      </c>
      <c r="H71" s="132" t="s">
        <v>102</v>
      </c>
      <c r="I71" s="132" t="s">
        <v>102</v>
      </c>
      <c r="J71" s="133" t="s">
        <v>102</v>
      </c>
      <c r="K71" s="189">
        <f>K67+K68-K69-K70</f>
        <v>6830.68</v>
      </c>
      <c r="L71" s="189">
        <f t="shared" ref="L71:O71" si="19">L67+L68-L69-L70</f>
        <v>4234.8010999999997</v>
      </c>
      <c r="M71" s="189">
        <f t="shared" si="19"/>
        <v>4969.1667099999995</v>
      </c>
      <c r="N71" s="189">
        <f t="shared" si="19"/>
        <v>5769.5728259300013</v>
      </c>
      <c r="O71" s="189">
        <f t="shared" si="19"/>
        <v>6641.6667271312035</v>
      </c>
    </row>
    <row r="72" spans="1:15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</row>
    <row r="73" spans="1:15">
      <c r="A73" s="103" t="s">
        <v>104</v>
      </c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</row>
    <row r="74" spans="1:15">
      <c r="A74" s="103"/>
      <c r="B74" s="106" t="s">
        <v>163</v>
      </c>
      <c r="C74" s="107"/>
      <c r="D74" s="108" t="s">
        <v>102</v>
      </c>
      <c r="E74" s="108" t="s">
        <v>102</v>
      </c>
      <c r="F74" s="108" t="s">
        <v>102</v>
      </c>
      <c r="G74" s="108" t="s">
        <v>102</v>
      </c>
      <c r="H74" s="108" t="s">
        <v>102</v>
      </c>
      <c r="I74" s="108" t="s">
        <v>102</v>
      </c>
      <c r="J74" s="108" t="s">
        <v>102</v>
      </c>
      <c r="K74" s="108" t="s">
        <v>102</v>
      </c>
      <c r="L74" s="108" t="s">
        <v>102</v>
      </c>
      <c r="M74" s="108" t="s">
        <v>102</v>
      </c>
      <c r="N74" s="108" t="s">
        <v>102</v>
      </c>
      <c r="O74" s="108" t="s">
        <v>102</v>
      </c>
    </row>
    <row r="75" spans="1:15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</row>
    <row r="76" spans="1:15">
      <c r="A76" s="103"/>
      <c r="B76" s="111" t="s">
        <v>102</v>
      </c>
      <c r="C76" s="111" t="s">
        <v>102</v>
      </c>
      <c r="D76" s="111" t="s">
        <v>102</v>
      </c>
      <c r="E76" s="111" t="s">
        <v>102</v>
      </c>
      <c r="F76" s="111" t="s">
        <v>102</v>
      </c>
      <c r="G76" s="111" t="s">
        <v>102</v>
      </c>
      <c r="H76" s="111" t="s">
        <v>102</v>
      </c>
      <c r="I76" s="111" t="s">
        <v>102</v>
      </c>
      <c r="J76" s="111" t="s">
        <v>145</v>
      </c>
      <c r="K76" s="111" t="s">
        <v>146</v>
      </c>
      <c r="L76" s="111" t="s">
        <v>147</v>
      </c>
      <c r="M76" s="111" t="s">
        <v>148</v>
      </c>
      <c r="N76" s="111" t="s">
        <v>149</v>
      </c>
      <c r="O76" s="111" t="s">
        <v>150</v>
      </c>
    </row>
    <row r="77" spans="1:15">
      <c r="A77" s="103"/>
      <c r="B77" s="122" t="s">
        <v>112</v>
      </c>
      <c r="C77" s="103"/>
      <c r="D77" s="103"/>
      <c r="E77" s="103"/>
      <c r="F77" s="103"/>
      <c r="G77" s="103"/>
      <c r="H77" s="103"/>
      <c r="I77" s="103"/>
      <c r="J77" s="137" t="s">
        <v>102</v>
      </c>
      <c r="K77" s="103"/>
      <c r="L77" s="103"/>
      <c r="M77" s="103"/>
      <c r="N77" s="103"/>
      <c r="O77" s="103"/>
    </row>
    <row r="78" spans="1:15">
      <c r="A78" s="103"/>
      <c r="B78" s="103" t="s">
        <v>164</v>
      </c>
      <c r="C78" s="113"/>
      <c r="D78" s="103"/>
      <c r="E78" s="103"/>
      <c r="F78" s="103"/>
      <c r="G78" s="103"/>
      <c r="H78" s="103"/>
      <c r="I78" s="103"/>
      <c r="J78" s="137" t="s">
        <v>102</v>
      </c>
      <c r="K78" s="162">
        <f>J81</f>
        <v>37840.5</v>
      </c>
      <c r="L78" s="162">
        <f>J81</f>
        <v>37840.5</v>
      </c>
      <c r="M78" s="162">
        <f>J81</f>
        <v>37840.5</v>
      </c>
      <c r="N78" s="162">
        <f>J81</f>
        <v>37840.5</v>
      </c>
      <c r="O78" s="162">
        <f>J81</f>
        <v>37840.5</v>
      </c>
    </row>
    <row r="79" spans="1:15">
      <c r="A79" s="103"/>
      <c r="B79" s="103" t="s">
        <v>165</v>
      </c>
      <c r="C79" s="103"/>
      <c r="D79" s="103"/>
      <c r="E79" s="103"/>
      <c r="F79" s="103"/>
      <c r="G79" s="103"/>
      <c r="H79" s="103"/>
      <c r="I79" s="103"/>
      <c r="J79" s="137" t="s">
        <v>102</v>
      </c>
      <c r="K79" s="183">
        <f>K78*$O$7</f>
        <v>2270.4299999999998</v>
      </c>
      <c r="L79" s="183">
        <f t="shared" ref="L79:O79" si="20">L78*$O$7</f>
        <v>2270.4299999999998</v>
      </c>
      <c r="M79" s="183">
        <f t="shared" si="20"/>
        <v>2270.4299999999998</v>
      </c>
      <c r="N79" s="183">
        <f t="shared" si="20"/>
        <v>2270.4299999999998</v>
      </c>
      <c r="O79" s="183">
        <f t="shared" si="20"/>
        <v>2270.4299999999998</v>
      </c>
    </row>
    <row r="80" spans="1:15">
      <c r="A80" s="103"/>
      <c r="B80" s="104" t="s">
        <v>166</v>
      </c>
      <c r="C80" s="104" t="s">
        <v>102</v>
      </c>
      <c r="D80" s="104" t="s">
        <v>102</v>
      </c>
      <c r="E80" s="104" t="s">
        <v>102</v>
      </c>
      <c r="F80" s="104" t="s">
        <v>102</v>
      </c>
      <c r="G80" s="104" t="s">
        <v>102</v>
      </c>
      <c r="H80" s="104" t="s">
        <v>102</v>
      </c>
      <c r="I80" s="104" t="s">
        <v>102</v>
      </c>
      <c r="J80" s="144" t="s">
        <v>102</v>
      </c>
      <c r="K80" s="191">
        <f>MIN(K71)</f>
        <v>6830.68</v>
      </c>
      <c r="L80" s="191">
        <f t="shared" ref="L80:O80" si="21">MIN(L71)</f>
        <v>4234.8010999999997</v>
      </c>
      <c r="M80" s="191">
        <f t="shared" si="21"/>
        <v>4969.1667099999995</v>
      </c>
      <c r="N80" s="191">
        <f t="shared" si="21"/>
        <v>5769.5728259300013</v>
      </c>
      <c r="O80" s="191">
        <f t="shared" si="21"/>
        <v>6641.6667271312035</v>
      </c>
    </row>
    <row r="81" spans="1:15">
      <c r="A81" s="103"/>
      <c r="B81" s="122" t="s">
        <v>167</v>
      </c>
      <c r="C81" s="123"/>
      <c r="D81" s="122"/>
      <c r="E81" s="122"/>
      <c r="F81" s="122"/>
      <c r="G81" s="122"/>
      <c r="H81" s="122"/>
      <c r="I81" s="122"/>
      <c r="J81" s="190">
        <f>E23</f>
        <v>37840.5</v>
      </c>
      <c r="K81" s="192">
        <f>K78-K80</f>
        <v>31009.82</v>
      </c>
      <c r="L81" s="192">
        <f t="shared" ref="L81:O81" si="22">L78-L80</f>
        <v>33605.698900000003</v>
      </c>
      <c r="M81" s="192">
        <f t="shared" si="22"/>
        <v>32871.333290000002</v>
      </c>
      <c r="N81" s="192">
        <f t="shared" si="22"/>
        <v>32070.927174069999</v>
      </c>
      <c r="O81" s="192">
        <f t="shared" si="22"/>
        <v>31198.833272868796</v>
      </c>
    </row>
    <row r="82" spans="1:15">
      <c r="A82" s="103"/>
      <c r="B82" s="103"/>
      <c r="C82" s="103"/>
      <c r="D82" s="103"/>
      <c r="E82" s="103"/>
      <c r="F82" s="103"/>
      <c r="G82" s="103"/>
      <c r="H82" s="103"/>
      <c r="I82" s="103"/>
      <c r="J82" s="137" t="s">
        <v>102</v>
      </c>
      <c r="K82" s="103"/>
      <c r="L82" s="103"/>
      <c r="M82" s="103"/>
      <c r="N82" s="103"/>
      <c r="O82" s="103"/>
    </row>
    <row r="83" spans="1:15">
      <c r="A83" s="103"/>
      <c r="B83" s="103" t="s">
        <v>168</v>
      </c>
      <c r="C83" s="103"/>
      <c r="D83" s="103"/>
      <c r="E83" s="103"/>
      <c r="F83" s="103"/>
      <c r="G83" s="103"/>
      <c r="H83" s="103"/>
      <c r="I83" s="103"/>
      <c r="J83" s="137"/>
      <c r="K83" s="103"/>
      <c r="L83" s="103"/>
      <c r="M83" s="103"/>
      <c r="N83" s="103"/>
      <c r="O83" s="103"/>
    </row>
    <row r="84" spans="1:15">
      <c r="A84" s="103"/>
      <c r="B84" s="122" t="s">
        <v>169</v>
      </c>
      <c r="C84" s="103"/>
      <c r="D84" s="103"/>
      <c r="E84" s="103"/>
      <c r="F84" s="103"/>
      <c r="G84" s="103"/>
      <c r="H84" s="103"/>
      <c r="I84" s="103"/>
      <c r="J84" s="185"/>
      <c r="K84" s="166">
        <f>E24</f>
        <v>18920.25</v>
      </c>
      <c r="L84" s="166">
        <f>E24</f>
        <v>18920.25</v>
      </c>
      <c r="M84" s="166">
        <f>E24</f>
        <v>18920.25</v>
      </c>
      <c r="N84" s="166">
        <f>E24</f>
        <v>18920.25</v>
      </c>
      <c r="O84" s="166">
        <f>E24</f>
        <v>18920.25</v>
      </c>
    </row>
    <row r="85" spans="1:15">
      <c r="A85" s="103"/>
      <c r="B85" s="103" t="s">
        <v>154</v>
      </c>
      <c r="C85" s="113"/>
      <c r="D85" s="103"/>
      <c r="E85" s="103"/>
      <c r="F85" s="103"/>
      <c r="G85" s="103"/>
      <c r="H85" s="103"/>
      <c r="I85" s="103"/>
      <c r="J85" s="137" t="s">
        <v>102</v>
      </c>
      <c r="K85" s="187">
        <f>$K$84*$O$8</f>
        <v>2270.4299999999998</v>
      </c>
      <c r="L85" s="187">
        <f t="shared" ref="L85:O85" si="23">$K$84*$O$8</f>
        <v>2270.4299999999998</v>
      </c>
      <c r="M85" s="187">
        <f t="shared" si="23"/>
        <v>2270.4299999999998</v>
      </c>
      <c r="N85" s="187">
        <f t="shared" si="23"/>
        <v>2270.4299999999998</v>
      </c>
      <c r="O85" s="187">
        <f t="shared" si="23"/>
        <v>2270.4299999999998</v>
      </c>
    </row>
    <row r="86" spans="1:15">
      <c r="A86" s="103"/>
      <c r="B86" s="103" t="s">
        <v>170</v>
      </c>
      <c r="C86" s="103"/>
      <c r="D86" s="103"/>
      <c r="E86" s="103"/>
      <c r="F86" s="103"/>
      <c r="G86" s="103"/>
      <c r="H86" s="103"/>
      <c r="I86" s="103"/>
      <c r="J86" s="137" t="s">
        <v>102</v>
      </c>
      <c r="K86" s="183">
        <f>MIN($K$71-$K$80)</f>
        <v>0</v>
      </c>
      <c r="L86" s="183">
        <f t="shared" ref="L86:O86" si="24">MIN($K$71-$K$80)</f>
        <v>0</v>
      </c>
      <c r="M86" s="183">
        <f t="shared" si="24"/>
        <v>0</v>
      </c>
      <c r="N86" s="183">
        <f t="shared" si="24"/>
        <v>0</v>
      </c>
      <c r="O86" s="183">
        <f t="shared" si="24"/>
        <v>0</v>
      </c>
    </row>
    <row r="87" spans="1:15">
      <c r="A87" s="103"/>
      <c r="B87" s="103" t="s">
        <v>171</v>
      </c>
      <c r="C87" s="103"/>
      <c r="D87" s="103"/>
      <c r="E87" s="103"/>
      <c r="F87" s="103"/>
      <c r="G87" s="103"/>
      <c r="H87" s="103"/>
      <c r="I87" s="103"/>
      <c r="J87" s="144" t="s">
        <v>102</v>
      </c>
      <c r="K87" s="191">
        <f>K84-K86</f>
        <v>18920.25</v>
      </c>
      <c r="L87" s="191">
        <f t="shared" ref="L87:O87" si="25">L84-L86</f>
        <v>18920.25</v>
      </c>
      <c r="M87" s="191">
        <f t="shared" si="25"/>
        <v>18920.25</v>
      </c>
      <c r="N87" s="191">
        <f t="shared" si="25"/>
        <v>18920.25</v>
      </c>
      <c r="O87" s="191">
        <f t="shared" si="25"/>
        <v>18920.25</v>
      </c>
    </row>
    <row r="88" spans="1:15">
      <c r="A88" s="103"/>
      <c r="B88" s="103"/>
      <c r="C88" s="113"/>
      <c r="D88" s="103"/>
      <c r="E88" s="103"/>
      <c r="F88" s="103"/>
      <c r="G88" s="103"/>
      <c r="H88" s="103"/>
      <c r="I88" s="103"/>
      <c r="J88" s="190">
        <f>E24</f>
        <v>18920.25</v>
      </c>
      <c r="K88" s="122"/>
      <c r="L88" s="122"/>
      <c r="M88" s="122"/>
      <c r="N88" s="122"/>
      <c r="O88" s="122"/>
    </row>
    <row r="89" spans="1:15">
      <c r="A89" s="103"/>
      <c r="B89" s="103"/>
      <c r="C89" s="103"/>
      <c r="D89" s="103"/>
      <c r="E89" s="103"/>
      <c r="F89" s="103"/>
      <c r="G89" s="103"/>
      <c r="H89" s="103"/>
      <c r="I89" s="103"/>
      <c r="J89" s="137" t="s">
        <v>102</v>
      </c>
      <c r="K89" s="103"/>
      <c r="L89" s="103"/>
      <c r="M89" s="103"/>
      <c r="N89" s="103"/>
      <c r="O89" s="103"/>
    </row>
    <row r="90" spans="1:15">
      <c r="A90" s="103"/>
      <c r="B90" s="122" t="s">
        <v>139</v>
      </c>
      <c r="C90" s="103"/>
      <c r="D90" s="103"/>
      <c r="E90" s="103"/>
      <c r="F90" s="103"/>
      <c r="G90" s="103"/>
      <c r="H90" s="103"/>
      <c r="I90" s="103"/>
      <c r="J90" s="137" t="s">
        <v>102</v>
      </c>
      <c r="K90" s="103"/>
      <c r="L90" s="103"/>
      <c r="M90" s="103"/>
      <c r="N90" s="103"/>
      <c r="O90" s="103"/>
    </row>
    <row r="91" spans="1:15">
      <c r="A91" s="103"/>
      <c r="B91" s="103" t="s">
        <v>164</v>
      </c>
      <c r="C91" s="113"/>
      <c r="D91" s="103"/>
      <c r="E91" s="103"/>
      <c r="F91" s="103"/>
      <c r="G91" s="103"/>
      <c r="H91" s="103"/>
      <c r="I91" s="103"/>
      <c r="J91" s="140" t="s">
        <v>102</v>
      </c>
      <c r="K91" s="194">
        <f>K78+K84</f>
        <v>56760.75</v>
      </c>
      <c r="L91" s="194">
        <f t="shared" ref="L91:O91" si="26">L78+L84</f>
        <v>56760.75</v>
      </c>
      <c r="M91" s="194">
        <f t="shared" si="26"/>
        <v>56760.75</v>
      </c>
      <c r="N91" s="194">
        <f t="shared" si="26"/>
        <v>56760.75</v>
      </c>
      <c r="O91" s="194">
        <f t="shared" si="26"/>
        <v>56760.75</v>
      </c>
    </row>
    <row r="92" spans="1:15">
      <c r="A92" s="103"/>
      <c r="B92" s="103" t="s">
        <v>165</v>
      </c>
      <c r="C92" s="103"/>
      <c r="D92" s="103"/>
      <c r="E92" s="103"/>
      <c r="F92" s="103"/>
      <c r="G92" s="103"/>
      <c r="H92" s="103"/>
      <c r="I92" s="103"/>
      <c r="J92" s="140" t="s">
        <v>102</v>
      </c>
      <c r="K92" s="194">
        <f>K79+K85</f>
        <v>4540.8599999999997</v>
      </c>
      <c r="L92" s="194">
        <f t="shared" ref="K92:O94" si="27">L79+L85</f>
        <v>4540.8599999999997</v>
      </c>
      <c r="M92" s="194">
        <f t="shared" si="27"/>
        <v>4540.8599999999997</v>
      </c>
      <c r="N92" s="194">
        <f t="shared" si="27"/>
        <v>4540.8599999999997</v>
      </c>
      <c r="O92" s="194">
        <f t="shared" si="27"/>
        <v>4540.8599999999997</v>
      </c>
    </row>
    <row r="93" spans="1:15">
      <c r="A93" s="103"/>
      <c r="B93" s="103" t="s">
        <v>166</v>
      </c>
      <c r="C93" s="103"/>
      <c r="D93" s="103"/>
      <c r="E93" s="103"/>
      <c r="F93" s="103"/>
      <c r="G93" s="103"/>
      <c r="H93" s="103"/>
      <c r="I93" s="103"/>
      <c r="J93" s="145" t="s">
        <v>102</v>
      </c>
      <c r="K93" s="194">
        <f>K80+K86</f>
        <v>6830.68</v>
      </c>
      <c r="L93" s="194">
        <f t="shared" si="27"/>
        <v>4234.8010999999997</v>
      </c>
      <c r="M93" s="194">
        <f t="shared" si="27"/>
        <v>4969.1667099999995</v>
      </c>
      <c r="N93" s="194">
        <f t="shared" si="27"/>
        <v>5769.5728259300013</v>
      </c>
      <c r="O93" s="194">
        <f t="shared" si="27"/>
        <v>6641.6667271312035</v>
      </c>
    </row>
    <row r="94" spans="1:15">
      <c r="A94" s="103" t="s">
        <v>104</v>
      </c>
      <c r="B94" s="103" t="s">
        <v>167</v>
      </c>
      <c r="C94" s="113"/>
      <c r="D94" s="103"/>
      <c r="E94" s="103"/>
      <c r="F94" s="103"/>
      <c r="G94" s="103"/>
      <c r="H94" s="103"/>
      <c r="I94" s="103"/>
      <c r="J94" s="193">
        <f>J81+J88</f>
        <v>56760.75</v>
      </c>
      <c r="K94" s="194">
        <f>K81+K87</f>
        <v>49930.07</v>
      </c>
      <c r="L94" s="194">
        <f t="shared" si="27"/>
        <v>52525.948900000003</v>
      </c>
      <c r="M94" s="194">
        <f t="shared" si="27"/>
        <v>51791.583290000002</v>
      </c>
      <c r="N94" s="194">
        <f t="shared" si="27"/>
        <v>50991.177174069999</v>
      </c>
      <c r="O94" s="194">
        <f t="shared" si="27"/>
        <v>50119.083272868796</v>
      </c>
    </row>
    <row r="95" spans="1:15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</row>
    <row r="96" spans="1:15">
      <c r="A96" s="103"/>
      <c r="B96" s="106" t="s">
        <v>124</v>
      </c>
      <c r="C96" s="108" t="s">
        <v>102</v>
      </c>
      <c r="D96" s="108" t="s">
        <v>102</v>
      </c>
      <c r="E96" s="108" t="s">
        <v>102</v>
      </c>
      <c r="F96" s="108" t="s">
        <v>102</v>
      </c>
      <c r="G96" s="108" t="s">
        <v>102</v>
      </c>
      <c r="H96" s="108" t="s">
        <v>102</v>
      </c>
      <c r="I96" s="108" t="s">
        <v>102</v>
      </c>
      <c r="J96" s="108" t="s">
        <v>102</v>
      </c>
      <c r="K96" s="108" t="s">
        <v>102</v>
      </c>
      <c r="L96" s="108" t="s">
        <v>102</v>
      </c>
      <c r="M96" s="108" t="s">
        <v>102</v>
      </c>
      <c r="N96" s="108" t="s">
        <v>102</v>
      </c>
      <c r="O96" s="108" t="s">
        <v>102</v>
      </c>
    </row>
    <row r="97" spans="1:15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14"/>
    </row>
    <row r="98" spans="1:15">
      <c r="A98" s="103"/>
      <c r="B98" s="103" t="s">
        <v>172</v>
      </c>
      <c r="C98" s="11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76">
        <f>O38</f>
        <v>15046.925604882283</v>
      </c>
    </row>
    <row r="99" spans="1:15">
      <c r="A99" s="103"/>
      <c r="B99" s="104" t="s">
        <v>173</v>
      </c>
      <c r="C99" s="113"/>
      <c r="D99" s="104" t="s">
        <v>102</v>
      </c>
      <c r="E99" s="104" t="s">
        <v>102</v>
      </c>
      <c r="F99" s="104" t="s">
        <v>102</v>
      </c>
      <c r="G99" s="104" t="s">
        <v>102</v>
      </c>
      <c r="H99" s="104" t="s">
        <v>102</v>
      </c>
      <c r="I99" s="104" t="s">
        <v>102</v>
      </c>
      <c r="J99" s="104" t="s">
        <v>102</v>
      </c>
      <c r="K99" s="104" t="s">
        <v>102</v>
      </c>
      <c r="L99" s="104" t="s">
        <v>102</v>
      </c>
      <c r="M99" s="104" t="s">
        <v>102</v>
      </c>
      <c r="N99" s="104" t="s">
        <v>102</v>
      </c>
      <c r="O99" s="188">
        <f>E16</f>
        <v>10</v>
      </c>
    </row>
    <row r="100" spans="1:15">
      <c r="A100" s="103"/>
      <c r="B100" s="103" t="s">
        <v>117</v>
      </c>
      <c r="C100" s="11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76">
        <f>O98*O99</f>
        <v>150469.25604882283</v>
      </c>
    </row>
    <row r="101" spans="1:15">
      <c r="A101" s="103"/>
      <c r="B101" s="104" t="s">
        <v>174</v>
      </c>
      <c r="C101" s="104" t="s">
        <v>102</v>
      </c>
      <c r="D101" s="104" t="s">
        <v>102</v>
      </c>
      <c r="E101" s="104" t="s">
        <v>102</v>
      </c>
      <c r="F101" s="104" t="s">
        <v>102</v>
      </c>
      <c r="G101" s="104" t="s">
        <v>102</v>
      </c>
      <c r="H101" s="104" t="s">
        <v>102</v>
      </c>
      <c r="I101" s="104" t="s">
        <v>102</v>
      </c>
      <c r="J101" s="104" t="s">
        <v>102</v>
      </c>
      <c r="K101" s="104" t="s">
        <v>102</v>
      </c>
      <c r="L101" s="104" t="s">
        <v>102</v>
      </c>
      <c r="M101" s="104" t="s">
        <v>102</v>
      </c>
      <c r="N101" s="104" t="s">
        <v>102</v>
      </c>
      <c r="O101" s="197">
        <f>O94</f>
        <v>50119.083272868796</v>
      </c>
    </row>
    <row r="102" spans="1:15">
      <c r="A102" s="103"/>
      <c r="B102" s="130" t="s">
        <v>175</v>
      </c>
      <c r="C102" s="131"/>
      <c r="D102" s="132" t="s">
        <v>102</v>
      </c>
      <c r="E102" s="132" t="s">
        <v>102</v>
      </c>
      <c r="F102" s="132" t="s">
        <v>102</v>
      </c>
      <c r="G102" s="132" t="s">
        <v>102</v>
      </c>
      <c r="H102" s="132" t="s">
        <v>102</v>
      </c>
      <c r="I102" s="132" t="s">
        <v>102</v>
      </c>
      <c r="J102" s="132" t="s">
        <v>102</v>
      </c>
      <c r="K102" s="132" t="s">
        <v>102</v>
      </c>
      <c r="L102" s="132" t="s">
        <v>102</v>
      </c>
      <c r="M102" s="132" t="s">
        <v>102</v>
      </c>
      <c r="N102" s="132" t="s">
        <v>102</v>
      </c>
      <c r="O102" s="198">
        <f>O100-O101</f>
        <v>100350.17277595404</v>
      </c>
    </row>
    <row r="103" spans="1:15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</row>
    <row r="104" spans="1:15">
      <c r="A104" s="103"/>
      <c r="B104" s="103" t="s">
        <v>176</v>
      </c>
      <c r="C104" s="113"/>
      <c r="D104" s="11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66">
        <f>E27</f>
        <v>37890.5</v>
      </c>
    </row>
    <row r="105" spans="1:15">
      <c r="A105" s="103" t="s">
        <v>104</v>
      </c>
      <c r="B105" s="103" t="s">
        <v>40</v>
      </c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76">
        <f>O102-O104</f>
        <v>62459.672775954037</v>
      </c>
    </row>
    <row r="106" spans="1:15">
      <c r="B106" s="146" t="s">
        <v>177</v>
      </c>
      <c r="C106" s="147" t="s">
        <v>102</v>
      </c>
      <c r="D106" s="147" t="s">
        <v>102</v>
      </c>
      <c r="E106" s="147" t="s">
        <v>102</v>
      </c>
      <c r="F106" s="147" t="s">
        <v>102</v>
      </c>
      <c r="G106" s="147" t="s">
        <v>102</v>
      </c>
      <c r="H106" s="147" t="s">
        <v>102</v>
      </c>
      <c r="I106" s="147" t="s">
        <v>102</v>
      </c>
      <c r="J106" s="147" t="s">
        <v>102</v>
      </c>
      <c r="K106" s="147" t="s">
        <v>102</v>
      </c>
      <c r="L106" s="147" t="s">
        <v>102</v>
      </c>
      <c r="M106" s="147" t="s">
        <v>102</v>
      </c>
      <c r="N106" s="147" t="s">
        <v>102</v>
      </c>
      <c r="O106" s="148">
        <f>O102/O104</f>
        <v>2.6484256680686196</v>
      </c>
    </row>
    <row r="107" spans="1:15">
      <c r="B107" s="149" t="s">
        <v>124</v>
      </c>
      <c r="C107" s="150" t="s">
        <v>102</v>
      </c>
      <c r="D107" s="150" t="s">
        <v>102</v>
      </c>
      <c r="E107" s="150" t="s">
        <v>102</v>
      </c>
      <c r="F107" s="150" t="s">
        <v>102</v>
      </c>
      <c r="G107" s="150" t="s">
        <v>102</v>
      </c>
      <c r="H107" s="150" t="s">
        <v>102</v>
      </c>
      <c r="I107" s="150" t="s">
        <v>102</v>
      </c>
      <c r="J107" s="150" t="s">
        <v>102</v>
      </c>
      <c r="K107" s="150" t="s">
        <v>102</v>
      </c>
      <c r="L107" s="150" t="s">
        <v>102</v>
      </c>
      <c r="M107" s="150" t="s">
        <v>102</v>
      </c>
      <c r="N107" s="150" t="s">
        <v>102</v>
      </c>
      <c r="O107" s="199">
        <f>O106^(1/5)-1</f>
        <v>0.21505953450831039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2024-06-29T16:17:08Z</dcterms:created>
  <dcterms:modified xsi:type="dcterms:W3CDTF">2024-12-21T20:09:09Z</dcterms:modified>
  <cp:category/>
  <cp:contentStatus/>
</cp:coreProperties>
</file>